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N:\Planning\GRANTS\Applications or other grant materials\2024 Grants\RAISE 2024\FINAL DOCS\"/>
    </mc:Choice>
  </mc:AlternateContent>
  <xr:revisionPtr revIDLastSave="0" documentId="8_{D5047280-F512-4FF8-BF93-31A13A0BBFCC}" xr6:coauthVersionLast="47" xr6:coauthVersionMax="47" xr10:uidLastSave="{00000000-0000-0000-0000-000000000000}"/>
  <bookViews>
    <workbookView xWindow="28680" yWindow="-120" windowWidth="29040" windowHeight="15840" firstSheet="1" activeTab="1" xr2:uid="{2C8874A3-D2F1-4A4E-B2AE-C5B4B07AA687}"/>
  </bookViews>
  <sheets>
    <sheet name="Sheet1" sheetId="1" state="hidden" r:id="rId1"/>
    <sheet name="Summary" sheetId="8" r:id="rId2"/>
    <sheet name="Benefits Summary Tab" sheetId="15" r:id="rId3"/>
    <sheet name="Inputs &amp; Parameters" sheetId="4" r:id="rId4"/>
    <sheet name="NPV" sheetId="3" r:id="rId5"/>
    <sheet name="Capital Costs" sheetId="7" r:id="rId6"/>
    <sheet name="Barge - Liquid" sheetId="14" r:id="rId7"/>
    <sheet name="Truck Diversion (No Build)- Dry" sheetId="6" r:id="rId8"/>
    <sheet name="Rail Diversion (No Build) - Dry" sheetId="5" r:id="rId9"/>
    <sheet name="Barge (Build) - Dry" sheetId="9" r:id="rId10"/>
    <sheet name="Barge (Build) - Liquid" sheetId="13" state="hidden" r:id="rId11"/>
    <sheet name="BCA - Liquid" sheetId="10" state="hidden" r:id="rId12"/>
    <sheet name="Team Note (delete when done)" sheetId="11" state="hidden"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4" l="1"/>
  <c r="B22" i="4"/>
  <c r="F60" i="9"/>
  <c r="F61" i="9"/>
  <c r="F62" i="9"/>
  <c r="F63" i="9"/>
  <c r="F64" i="9"/>
  <c r="F65" i="9"/>
  <c r="F66" i="9"/>
  <c r="F67" i="9"/>
  <c r="F68" i="9"/>
  <c r="F69" i="9"/>
  <c r="F70" i="9"/>
  <c r="F71" i="9"/>
  <c r="F72" i="9"/>
  <c r="F73" i="9"/>
  <c r="F74" i="9"/>
  <c r="F75" i="9"/>
  <c r="F76" i="9"/>
  <c r="F77" i="9"/>
  <c r="F78" i="9"/>
  <c r="F59" i="9"/>
  <c r="C23" i="6"/>
  <c r="D23" i="6"/>
  <c r="B23" i="6"/>
  <c r="B49" i="6"/>
  <c r="B50" i="6"/>
  <c r="B51" i="6"/>
  <c r="B52" i="6"/>
  <c r="B53" i="6"/>
  <c r="B54" i="6"/>
  <c r="B55" i="6"/>
  <c r="B56" i="6"/>
  <c r="B57" i="6"/>
  <c r="B58" i="6"/>
  <c r="B59" i="6"/>
  <c r="B60" i="6"/>
  <c r="B61" i="6"/>
  <c r="B62" i="6"/>
  <c r="B63" i="6"/>
  <c r="B64" i="6"/>
  <c r="B65" i="6"/>
  <c r="B66" i="6"/>
  <c r="B67" i="6"/>
  <c r="B48" i="6"/>
  <c r="B24" i="6"/>
  <c r="B25" i="6"/>
  <c r="B26" i="6"/>
  <c r="B27" i="6"/>
  <c r="B28" i="6"/>
  <c r="B29" i="6"/>
  <c r="B30" i="6"/>
  <c r="B31" i="6"/>
  <c r="B32" i="6"/>
  <c r="B33" i="6"/>
  <c r="B34" i="6"/>
  <c r="B35" i="6"/>
  <c r="B36" i="6"/>
  <c r="B37" i="6"/>
  <c r="B38" i="6"/>
  <c r="B39" i="6"/>
  <c r="B40" i="6"/>
  <c r="B41" i="6"/>
  <c r="B42" i="6"/>
  <c r="B6" i="6"/>
  <c r="B19" i="4"/>
  <c r="AB24" i="15"/>
  <c r="C9" i="8"/>
  <c r="Y50" i="15"/>
  <c r="Y49" i="15"/>
  <c r="Y48" i="15"/>
  <c r="Y47" i="15"/>
  <c r="Y46" i="15"/>
  <c r="Y45" i="15"/>
  <c r="Y44" i="15"/>
  <c r="Y43" i="15"/>
  <c r="Y42" i="15"/>
  <c r="Y41" i="15"/>
  <c r="Y40" i="15"/>
  <c r="Y39" i="15"/>
  <c r="Y38" i="15"/>
  <c r="Y37" i="15"/>
  <c r="Y36" i="15"/>
  <c r="Y35" i="15"/>
  <c r="Y34" i="15"/>
  <c r="Y33" i="15"/>
  <c r="Y32" i="15"/>
  <c r="Y31" i="15"/>
  <c r="P50" i="15"/>
  <c r="P49" i="15"/>
  <c r="P48" i="15"/>
  <c r="P47" i="15"/>
  <c r="P46" i="15"/>
  <c r="P45" i="15"/>
  <c r="P44" i="15"/>
  <c r="P43" i="15"/>
  <c r="P42" i="15"/>
  <c r="P41" i="15"/>
  <c r="P40" i="15"/>
  <c r="P39" i="15"/>
  <c r="P38" i="15"/>
  <c r="P37" i="15"/>
  <c r="P36" i="15"/>
  <c r="P35" i="15"/>
  <c r="P34" i="15"/>
  <c r="P33" i="15"/>
  <c r="P32" i="15"/>
  <c r="P31" i="15"/>
  <c r="Y24" i="15"/>
  <c r="Y23" i="15"/>
  <c r="Y22" i="15"/>
  <c r="Y21" i="15"/>
  <c r="Y20" i="15"/>
  <c r="Y19" i="15"/>
  <c r="Y18" i="15"/>
  <c r="Y17" i="15"/>
  <c r="Y16" i="15"/>
  <c r="Y15" i="15"/>
  <c r="Y14" i="15"/>
  <c r="Y13" i="15"/>
  <c r="Y12" i="15"/>
  <c r="Y11" i="15"/>
  <c r="Y10" i="15"/>
  <c r="Y9" i="15"/>
  <c r="Y8" i="15"/>
  <c r="Y7" i="15"/>
  <c r="Y6" i="15"/>
  <c r="Y5" i="15"/>
  <c r="P24" i="15"/>
  <c r="P23" i="15"/>
  <c r="P22" i="15"/>
  <c r="P21" i="15"/>
  <c r="P20" i="15"/>
  <c r="P19" i="15"/>
  <c r="P18" i="15"/>
  <c r="P17" i="15"/>
  <c r="P16" i="15"/>
  <c r="P15" i="15"/>
  <c r="P14" i="15"/>
  <c r="P13" i="15"/>
  <c r="P12" i="15"/>
  <c r="P11" i="15"/>
  <c r="P10" i="15"/>
  <c r="P9" i="15"/>
  <c r="P8" i="15"/>
  <c r="P7" i="15"/>
  <c r="P6" i="15"/>
  <c r="P5" i="15"/>
  <c r="F6" i="15"/>
  <c r="F7" i="15"/>
  <c r="F8" i="15"/>
  <c r="F9" i="15"/>
  <c r="F10" i="15"/>
  <c r="F11" i="15"/>
  <c r="F12" i="15"/>
  <c r="F13" i="15"/>
  <c r="F14" i="15"/>
  <c r="F15" i="15"/>
  <c r="F16" i="15"/>
  <c r="F17" i="15"/>
  <c r="F18" i="15"/>
  <c r="F19" i="15"/>
  <c r="F20" i="15"/>
  <c r="F21" i="15"/>
  <c r="F22" i="15"/>
  <c r="F23" i="15"/>
  <c r="F24" i="15"/>
  <c r="F5" i="15"/>
  <c r="B11" i="9"/>
  <c r="J60" i="9"/>
  <c r="J61" i="9"/>
  <c r="J63" i="9"/>
  <c r="J64" i="9"/>
  <c r="J65" i="9"/>
  <c r="J66" i="9"/>
  <c r="J68" i="9"/>
  <c r="J69" i="9"/>
  <c r="J71" i="9"/>
  <c r="J72" i="9"/>
  <c r="J73" i="9"/>
  <c r="J74" i="9"/>
  <c r="J76" i="9"/>
  <c r="J77" i="9"/>
  <c r="J59" i="9"/>
  <c r="P51" i="15" l="1"/>
  <c r="Y25" i="15"/>
  <c r="P25" i="15"/>
  <c r="Y51" i="15"/>
  <c r="F25" i="15"/>
  <c r="J78" i="9"/>
  <c r="J70" i="9"/>
  <c r="J62" i="9"/>
  <c r="J75" i="9"/>
  <c r="J67" i="9"/>
  <c r="AB25" i="15" l="1"/>
  <c r="J79" i="9" l="1"/>
  <c r="L79" i="9"/>
  <c r="B18" i="4"/>
  <c r="B4" i="5" s="1"/>
  <c r="C20" i="4"/>
  <c r="C19" i="4"/>
  <c r="B20" i="4"/>
  <c r="B3" i="9" s="1"/>
  <c r="B4" i="6"/>
  <c r="B61" i="14"/>
  <c r="E6" i="15" l="1"/>
  <c r="E14" i="15"/>
  <c r="E22" i="15"/>
  <c r="J106" i="14"/>
  <c r="J114" i="14"/>
  <c r="J93" i="14"/>
  <c r="J82" i="14"/>
  <c r="J90" i="14"/>
  <c r="J119" i="14"/>
  <c r="E7" i="15"/>
  <c r="E15" i="15"/>
  <c r="E23" i="15"/>
  <c r="J107" i="14"/>
  <c r="J115" i="14"/>
  <c r="J75" i="14"/>
  <c r="J83" i="14"/>
  <c r="J91" i="14"/>
  <c r="J101" i="14"/>
  <c r="E8" i="15"/>
  <c r="E16" i="15"/>
  <c r="E24" i="15"/>
  <c r="J108" i="14"/>
  <c r="J116" i="14"/>
  <c r="J76" i="14"/>
  <c r="J84" i="14"/>
  <c r="J92" i="14"/>
  <c r="J103" i="14"/>
  <c r="J87" i="14"/>
  <c r="E9" i="15"/>
  <c r="E17" i="15"/>
  <c r="E5" i="15"/>
  <c r="J109" i="14"/>
  <c r="J117" i="14"/>
  <c r="J77" i="14"/>
  <c r="J85" i="14"/>
  <c r="J74" i="14"/>
  <c r="E11" i="15"/>
  <c r="J111" i="14"/>
  <c r="J79" i="14"/>
  <c r="J89" i="14"/>
  <c r="E10" i="15"/>
  <c r="E18" i="15"/>
  <c r="J102" i="14"/>
  <c r="J110" i="14"/>
  <c r="J118" i="14"/>
  <c r="J78" i="14"/>
  <c r="J86" i="14"/>
  <c r="J94" i="14" s="1"/>
  <c r="E19" i="15"/>
  <c r="E12" i="15"/>
  <c r="E20" i="15"/>
  <c r="J104" i="14"/>
  <c r="J112" i="14"/>
  <c r="J120" i="14"/>
  <c r="J80" i="14"/>
  <c r="J88" i="14"/>
  <c r="E13" i="15"/>
  <c r="E21" i="15"/>
  <c r="J105" i="14"/>
  <c r="J113" i="14"/>
  <c r="J81" i="14"/>
  <c r="J121" i="14" l="1"/>
  <c r="E25" i="15"/>
  <c r="A101" i="14"/>
  <c r="B11" i="13"/>
  <c r="A102" i="14" l="1"/>
  <c r="K102" i="14" s="1"/>
  <c r="K101" i="14"/>
  <c r="B5" i="13"/>
  <c r="B6" i="13"/>
  <c r="B5" i="9"/>
  <c r="B6" i="9"/>
  <c r="B7" i="14"/>
  <c r="B6" i="14"/>
  <c r="C21" i="8"/>
  <c r="A74" i="14"/>
  <c r="K74" i="14" s="1"/>
  <c r="C25" i="14"/>
  <c r="D25" i="14" s="1"/>
  <c r="E25" i="14" s="1"/>
  <c r="F25" i="14" s="1"/>
  <c r="G25" i="14" s="1"/>
  <c r="H25" i="14" s="1"/>
  <c r="I25" i="14" s="1"/>
  <c r="J25" i="14" s="1"/>
  <c r="K25" i="14" s="1"/>
  <c r="L25" i="14" s="1"/>
  <c r="M25" i="14" s="1"/>
  <c r="N25" i="14" s="1"/>
  <c r="O25" i="14" s="1"/>
  <c r="P25" i="14" s="1"/>
  <c r="Q25" i="14" s="1"/>
  <c r="R25" i="14" s="1"/>
  <c r="S25" i="14" s="1"/>
  <c r="T25" i="14" s="1"/>
  <c r="U25" i="14" s="1"/>
  <c r="V25" i="14" s="1"/>
  <c r="W25" i="14" s="1"/>
  <c r="X25" i="14" s="1"/>
  <c r="Y25" i="14" s="1"/>
  <c r="C31" i="14"/>
  <c r="D31" i="14" s="1"/>
  <c r="E31" i="14" s="1"/>
  <c r="F31" i="14" s="1"/>
  <c r="G31" i="14" s="1"/>
  <c r="H31" i="14" s="1"/>
  <c r="I31" i="14" s="1"/>
  <c r="J31" i="14" s="1"/>
  <c r="K31" i="14" s="1"/>
  <c r="L31" i="14" s="1"/>
  <c r="M31" i="14" s="1"/>
  <c r="N31" i="14" s="1"/>
  <c r="O31" i="14" s="1"/>
  <c r="P31" i="14" s="1"/>
  <c r="Q31" i="14" s="1"/>
  <c r="R31" i="14" s="1"/>
  <c r="S31" i="14" s="1"/>
  <c r="T31" i="14" s="1"/>
  <c r="U31" i="14" s="1"/>
  <c r="V31" i="14" s="1"/>
  <c r="W31" i="14" s="1"/>
  <c r="X31" i="14" s="1"/>
  <c r="Y31" i="14" s="1"/>
  <c r="B33" i="14"/>
  <c r="C33" i="14"/>
  <c r="D33" i="14"/>
  <c r="E33" i="14"/>
  <c r="F33" i="14"/>
  <c r="G33" i="14"/>
  <c r="H33" i="14"/>
  <c r="I33" i="14"/>
  <c r="J33" i="14"/>
  <c r="K33" i="14"/>
  <c r="L33" i="14"/>
  <c r="M33" i="14"/>
  <c r="N33" i="14"/>
  <c r="O33" i="14"/>
  <c r="P33" i="14"/>
  <c r="Q33" i="14"/>
  <c r="R33" i="14"/>
  <c r="S33" i="14"/>
  <c r="T33" i="14"/>
  <c r="U33" i="14"/>
  <c r="V33" i="14"/>
  <c r="W33" i="14"/>
  <c r="X33" i="14"/>
  <c r="Y33" i="14"/>
  <c r="B34" i="14"/>
  <c r="C34" i="14"/>
  <c r="D34" i="14"/>
  <c r="E34" i="14"/>
  <c r="F34" i="14"/>
  <c r="G34" i="14"/>
  <c r="H34" i="14"/>
  <c r="I34" i="14"/>
  <c r="J34" i="14"/>
  <c r="K34" i="14"/>
  <c r="L34" i="14"/>
  <c r="M34" i="14"/>
  <c r="N34" i="14"/>
  <c r="O34" i="14"/>
  <c r="P34" i="14"/>
  <c r="Q34" i="14"/>
  <c r="R34" i="14"/>
  <c r="S34" i="14"/>
  <c r="T34" i="14"/>
  <c r="U34" i="14"/>
  <c r="V34" i="14"/>
  <c r="W34" i="14"/>
  <c r="X34" i="14"/>
  <c r="Y34" i="14"/>
  <c r="B35" i="14"/>
  <c r="C35" i="14"/>
  <c r="D35" i="14"/>
  <c r="E35" i="14"/>
  <c r="F35" i="14"/>
  <c r="G35" i="14"/>
  <c r="H35" i="14"/>
  <c r="I35" i="14"/>
  <c r="J35" i="14"/>
  <c r="K35" i="14"/>
  <c r="L35" i="14"/>
  <c r="M35" i="14"/>
  <c r="N35" i="14"/>
  <c r="O35" i="14"/>
  <c r="P35" i="14"/>
  <c r="Q35" i="14"/>
  <c r="R35" i="14"/>
  <c r="S35" i="14"/>
  <c r="T35" i="14"/>
  <c r="U35" i="14"/>
  <c r="V35" i="14"/>
  <c r="W35" i="14"/>
  <c r="X35" i="14"/>
  <c r="Y35" i="14"/>
  <c r="B36" i="14"/>
  <c r="C36" i="14"/>
  <c r="D36" i="14"/>
  <c r="E36" i="14"/>
  <c r="F36" i="14"/>
  <c r="G36" i="14"/>
  <c r="H36" i="14"/>
  <c r="I36" i="14"/>
  <c r="J36" i="14"/>
  <c r="K36" i="14"/>
  <c r="L36" i="14"/>
  <c r="M36" i="14"/>
  <c r="N36" i="14"/>
  <c r="O36" i="14"/>
  <c r="P36" i="14"/>
  <c r="Q36" i="14"/>
  <c r="R36" i="14"/>
  <c r="S36" i="14"/>
  <c r="T36" i="14"/>
  <c r="U36" i="14"/>
  <c r="V36" i="14"/>
  <c r="W36" i="14"/>
  <c r="X36" i="14"/>
  <c r="Y36" i="14"/>
  <c r="C37" i="14"/>
  <c r="D37" i="14" s="1"/>
  <c r="E37" i="14" s="1"/>
  <c r="F37" i="14" s="1"/>
  <c r="G37" i="14" s="1"/>
  <c r="H37" i="14" s="1"/>
  <c r="I37" i="14" s="1"/>
  <c r="J37" i="14" s="1"/>
  <c r="K37" i="14" s="1"/>
  <c r="L37" i="14" s="1"/>
  <c r="M37" i="14" s="1"/>
  <c r="N37" i="14" s="1"/>
  <c r="O37" i="14" s="1"/>
  <c r="P37" i="14" s="1"/>
  <c r="Q37" i="14" s="1"/>
  <c r="R37" i="14" s="1"/>
  <c r="S37" i="14" s="1"/>
  <c r="T37" i="14" s="1"/>
  <c r="U37" i="14" s="1"/>
  <c r="V37" i="14" s="1"/>
  <c r="W37" i="14" s="1"/>
  <c r="X37" i="14" s="1"/>
  <c r="Y37" i="14" s="1"/>
  <c r="B21" i="14"/>
  <c r="B22" i="14" s="1"/>
  <c r="B23" i="14" s="1"/>
  <c r="B26" i="14" s="1"/>
  <c r="E55" i="14"/>
  <c r="F55" i="14"/>
  <c r="C40" i="13"/>
  <c r="D40" i="13" s="1"/>
  <c r="E40" i="13" s="1"/>
  <c r="F40" i="13" s="1"/>
  <c r="G40" i="13" s="1"/>
  <c r="H40" i="13" s="1"/>
  <c r="I40" i="13" s="1"/>
  <c r="J40" i="13" s="1"/>
  <c r="K40" i="13" s="1"/>
  <c r="L40" i="13" s="1"/>
  <c r="M40" i="13" s="1"/>
  <c r="N40" i="13" s="1"/>
  <c r="O40" i="13" s="1"/>
  <c r="P40" i="13" s="1"/>
  <c r="Q40" i="13" s="1"/>
  <c r="R40" i="13" s="1"/>
  <c r="S40" i="13" s="1"/>
  <c r="T40" i="13" s="1"/>
  <c r="U40" i="13" s="1"/>
  <c r="V40" i="13" s="1"/>
  <c r="W40" i="13" s="1"/>
  <c r="X40" i="13" s="1"/>
  <c r="Y40" i="13" s="1"/>
  <c r="C46" i="13"/>
  <c r="D46" i="13" s="1"/>
  <c r="E46" i="13" s="1"/>
  <c r="F46" i="13" s="1"/>
  <c r="G46" i="13" s="1"/>
  <c r="H46" i="13" s="1"/>
  <c r="I46" i="13" s="1"/>
  <c r="J46" i="13" s="1"/>
  <c r="K46" i="13" s="1"/>
  <c r="L46" i="13" s="1"/>
  <c r="M46" i="13" s="1"/>
  <c r="N46" i="13" s="1"/>
  <c r="O46" i="13" s="1"/>
  <c r="P46" i="13" s="1"/>
  <c r="Q46" i="13" s="1"/>
  <c r="R46" i="13" s="1"/>
  <c r="S46" i="13" s="1"/>
  <c r="T46" i="13" s="1"/>
  <c r="U46" i="13" s="1"/>
  <c r="V46" i="13" s="1"/>
  <c r="W46" i="13" s="1"/>
  <c r="X46" i="13" s="1"/>
  <c r="Y46" i="13" s="1"/>
  <c r="B48" i="13"/>
  <c r="C48" i="13"/>
  <c r="D48" i="13"/>
  <c r="E48" i="13"/>
  <c r="F48" i="13"/>
  <c r="G48" i="13"/>
  <c r="H48" i="13"/>
  <c r="I48" i="13"/>
  <c r="J48" i="13"/>
  <c r="K48" i="13"/>
  <c r="L48" i="13"/>
  <c r="M48" i="13"/>
  <c r="N48" i="13"/>
  <c r="O48" i="13"/>
  <c r="P48" i="13"/>
  <c r="Q48" i="13"/>
  <c r="R48" i="13"/>
  <c r="S48" i="13"/>
  <c r="T48" i="13"/>
  <c r="U48" i="13"/>
  <c r="V48" i="13"/>
  <c r="W48" i="13"/>
  <c r="X48" i="13"/>
  <c r="Y48" i="13"/>
  <c r="B49" i="13"/>
  <c r="C49" i="13"/>
  <c r="D49" i="13"/>
  <c r="E49" i="13"/>
  <c r="F49" i="13"/>
  <c r="G49" i="13"/>
  <c r="H49" i="13"/>
  <c r="I49" i="13"/>
  <c r="J49" i="13"/>
  <c r="K49" i="13"/>
  <c r="L49" i="13"/>
  <c r="M49" i="13"/>
  <c r="N49" i="13"/>
  <c r="O49" i="13"/>
  <c r="P49" i="13"/>
  <c r="Q49" i="13"/>
  <c r="R49" i="13"/>
  <c r="S49" i="13"/>
  <c r="T49" i="13"/>
  <c r="U49" i="13"/>
  <c r="V49" i="13"/>
  <c r="W49" i="13"/>
  <c r="X49" i="13"/>
  <c r="Y49" i="13"/>
  <c r="B50" i="13"/>
  <c r="C50" i="13"/>
  <c r="D50" i="13"/>
  <c r="E50" i="13"/>
  <c r="F50" i="13"/>
  <c r="G50" i="13"/>
  <c r="H50" i="13"/>
  <c r="I50" i="13"/>
  <c r="J50" i="13"/>
  <c r="K50" i="13"/>
  <c r="L50" i="13"/>
  <c r="M50" i="13"/>
  <c r="N50" i="13"/>
  <c r="O50" i="13"/>
  <c r="P50" i="13"/>
  <c r="Q50" i="13"/>
  <c r="R50" i="13"/>
  <c r="S50" i="13"/>
  <c r="T50" i="13"/>
  <c r="U50" i="13"/>
  <c r="V50" i="13"/>
  <c r="W50" i="13"/>
  <c r="X50" i="13"/>
  <c r="Y50" i="13"/>
  <c r="B51" i="13"/>
  <c r="C51" i="13"/>
  <c r="D51" i="13"/>
  <c r="E51" i="13"/>
  <c r="F51" i="13"/>
  <c r="G51" i="13"/>
  <c r="H51" i="13"/>
  <c r="I51" i="13"/>
  <c r="J51" i="13"/>
  <c r="K51" i="13"/>
  <c r="L51" i="13"/>
  <c r="M51" i="13"/>
  <c r="N51" i="13"/>
  <c r="O51" i="13"/>
  <c r="P51" i="13"/>
  <c r="Q51" i="13"/>
  <c r="R51" i="13"/>
  <c r="S51" i="13"/>
  <c r="T51" i="13"/>
  <c r="U51" i="13"/>
  <c r="V51" i="13"/>
  <c r="W51" i="13"/>
  <c r="X51" i="13"/>
  <c r="Y51" i="13"/>
  <c r="C52" i="13"/>
  <c r="D52" i="13" s="1"/>
  <c r="E52" i="13" s="1"/>
  <c r="F52" i="13" s="1"/>
  <c r="G52" i="13" s="1"/>
  <c r="H52" i="13" s="1"/>
  <c r="I52" i="13" s="1"/>
  <c r="J52" i="13" s="1"/>
  <c r="K52" i="13" s="1"/>
  <c r="L52" i="13" s="1"/>
  <c r="M52" i="13" s="1"/>
  <c r="N52" i="13" s="1"/>
  <c r="O52" i="13" s="1"/>
  <c r="P52" i="13" s="1"/>
  <c r="Q52" i="13" s="1"/>
  <c r="R52" i="13" s="1"/>
  <c r="S52" i="13" s="1"/>
  <c r="T52" i="13" s="1"/>
  <c r="U52" i="13" s="1"/>
  <c r="V52" i="13" s="1"/>
  <c r="W52" i="13" s="1"/>
  <c r="X52" i="13" s="1"/>
  <c r="Y52" i="13" s="1"/>
  <c r="B36" i="13"/>
  <c r="B37" i="13" s="1"/>
  <c r="B38" i="13" s="1"/>
  <c r="B41" i="13" s="1"/>
  <c r="E26" i="13"/>
  <c r="F26" i="13"/>
  <c r="L30" i="7"/>
  <c r="L29" i="7"/>
  <c r="L28" i="7"/>
  <c r="L27" i="7"/>
  <c r="L26" i="7"/>
  <c r="L25" i="7"/>
  <c r="L24" i="7"/>
  <c r="L23" i="7"/>
  <c r="L22" i="7"/>
  <c r="L21" i="7"/>
  <c r="L20" i="7"/>
  <c r="L19" i="7"/>
  <c r="L18" i="7"/>
  <c r="L17" i="7"/>
  <c r="L16" i="7"/>
  <c r="L15" i="7"/>
  <c r="L14" i="7"/>
  <c r="L13" i="7"/>
  <c r="L12" i="7"/>
  <c r="L11" i="7"/>
  <c r="L10" i="7"/>
  <c r="L9" i="7"/>
  <c r="A103" i="14" l="1"/>
  <c r="K103" i="14" s="1"/>
  <c r="A75" i="14"/>
  <c r="K75" i="14" s="1"/>
  <c r="C26" i="14"/>
  <c r="B32" i="14"/>
  <c r="B47" i="13"/>
  <c r="C41" i="13"/>
  <c r="L31" i="7"/>
  <c r="L33" i="7" s="1"/>
  <c r="A104" i="14" l="1"/>
  <c r="K104" i="14" s="1"/>
  <c r="A76" i="14"/>
  <c r="K76" i="14" s="1"/>
  <c r="A105" i="14"/>
  <c r="K105" i="14" s="1"/>
  <c r="D26" i="14"/>
  <c r="C32" i="14"/>
  <c r="C47" i="13"/>
  <c r="D41" i="13"/>
  <c r="L35" i="7"/>
  <c r="L37" i="7" s="1"/>
  <c r="L36" i="7"/>
  <c r="A77" i="14" l="1"/>
  <c r="K77" i="14" s="1"/>
  <c r="A106" i="14"/>
  <c r="K106" i="14" s="1"/>
  <c r="D32" i="14"/>
  <c r="E26" i="14"/>
  <c r="D47" i="13"/>
  <c r="E41" i="13"/>
  <c r="K37" i="7"/>
  <c r="B3" i="7"/>
  <c r="A107" i="14" l="1"/>
  <c r="K107" i="14" s="1"/>
  <c r="A78" i="14"/>
  <c r="K78" i="14" s="1"/>
  <c r="E32" i="14"/>
  <c r="F26" i="14"/>
  <c r="F41" i="13"/>
  <c r="E47" i="13"/>
  <c r="B23" i="4"/>
  <c r="B9" i="14" s="1"/>
  <c r="B8" i="9"/>
  <c r="B3" i="6"/>
  <c r="A5" i="15" s="1"/>
  <c r="A31" i="15" l="1"/>
  <c r="A6" i="15"/>
  <c r="A7" i="15" s="1"/>
  <c r="A8" i="15" s="1"/>
  <c r="A9" i="15" s="1"/>
  <c r="A10" i="15" s="1"/>
  <c r="A11" i="15" s="1"/>
  <c r="A12" i="15" s="1"/>
  <c r="A13" i="15" s="1"/>
  <c r="A14" i="15" s="1"/>
  <c r="A15" i="15" s="1"/>
  <c r="A16" i="15" s="1"/>
  <c r="A17" i="15" s="1"/>
  <c r="A18" i="15" s="1"/>
  <c r="A19" i="15" s="1"/>
  <c r="A20" i="15" s="1"/>
  <c r="A21" i="15" s="1"/>
  <c r="A22" i="15" s="1"/>
  <c r="A23" i="15" s="1"/>
  <c r="A24" i="15" s="1"/>
  <c r="A79" i="14"/>
  <c r="K79" i="14" s="1"/>
  <c r="A108" i="14"/>
  <c r="K108" i="14" s="1"/>
  <c r="B24" i="4"/>
  <c r="B9" i="9"/>
  <c r="B8" i="13"/>
  <c r="G26" i="14"/>
  <c r="F32" i="14"/>
  <c r="G41" i="13"/>
  <c r="F47" i="13"/>
  <c r="A23" i="6"/>
  <c r="F31" i="15" l="1"/>
  <c r="A32" i="15"/>
  <c r="E31" i="15"/>
  <c r="A109" i="14"/>
  <c r="K109" i="14" s="1"/>
  <c r="A80" i="14"/>
  <c r="K80" i="14" s="1"/>
  <c r="B109" i="14"/>
  <c r="B117" i="14"/>
  <c r="B102" i="14"/>
  <c r="B110" i="14"/>
  <c r="B118" i="14"/>
  <c r="B103" i="14"/>
  <c r="B111" i="14"/>
  <c r="B119" i="14"/>
  <c r="B104" i="14"/>
  <c r="B112" i="14"/>
  <c r="B120" i="14"/>
  <c r="B114" i="14"/>
  <c r="B105" i="14"/>
  <c r="B113" i="14"/>
  <c r="B101" i="14"/>
  <c r="B106" i="14"/>
  <c r="B107" i="14"/>
  <c r="B115" i="14"/>
  <c r="B108" i="14"/>
  <c r="B116" i="14"/>
  <c r="B10" i="13"/>
  <c r="B59" i="9"/>
  <c r="B81" i="14"/>
  <c r="B11" i="14"/>
  <c r="B10" i="14"/>
  <c r="B78" i="14"/>
  <c r="B79" i="14"/>
  <c r="B82" i="14"/>
  <c r="B92" i="14"/>
  <c r="B74" i="14"/>
  <c r="B84" i="14"/>
  <c r="B89" i="14"/>
  <c r="B93" i="14"/>
  <c r="B76" i="14"/>
  <c r="B86" i="14"/>
  <c r="B91" i="14"/>
  <c r="B88" i="14"/>
  <c r="B83" i="14"/>
  <c r="B77" i="14"/>
  <c r="B80" i="14"/>
  <c r="B75" i="14"/>
  <c r="B85" i="14"/>
  <c r="B87" i="14"/>
  <c r="B90" i="14"/>
  <c r="H26" i="14"/>
  <c r="G32" i="14"/>
  <c r="H41" i="13"/>
  <c r="G47" i="13"/>
  <c r="B32" i="9"/>
  <c r="B33" i="9" s="1"/>
  <c r="B10" i="9"/>
  <c r="A33" i="15" l="1"/>
  <c r="F32" i="15"/>
  <c r="E32" i="15"/>
  <c r="L113" i="14"/>
  <c r="L118" i="14"/>
  <c r="L114" i="14"/>
  <c r="L120" i="14"/>
  <c r="AB63" i="9"/>
  <c r="AB69" i="9"/>
  <c r="AB75" i="9"/>
  <c r="Z59" i="9"/>
  <c r="AB62" i="9"/>
  <c r="AB65" i="9"/>
  <c r="AB68" i="9"/>
  <c r="AB71" i="9"/>
  <c r="Z73" i="9"/>
  <c r="AB74" i="9"/>
  <c r="AB77" i="9"/>
  <c r="AB73" i="9"/>
  <c r="AB67" i="9"/>
  <c r="AB59" i="9"/>
  <c r="AB61" i="9"/>
  <c r="Z64" i="9"/>
  <c r="Z66" i="9"/>
  <c r="Z71" i="9"/>
  <c r="Z76" i="9"/>
  <c r="Z78" i="9"/>
  <c r="Z65" i="9"/>
  <c r="Z72" i="9"/>
  <c r="Z77" i="9"/>
  <c r="AB66" i="9"/>
  <c r="Z69" i="9"/>
  <c r="AB78" i="9"/>
  <c r="Z60" i="9"/>
  <c r="Z70" i="9"/>
  <c r="Z62" i="9"/>
  <c r="AD62" i="9" s="1"/>
  <c r="AB64" i="9"/>
  <c r="Z67" i="9"/>
  <c r="Z74" i="9"/>
  <c r="AB76" i="9"/>
  <c r="AB60" i="9"/>
  <c r="Z63" i="9"/>
  <c r="AD63" i="9" s="1"/>
  <c r="AB72" i="9"/>
  <c r="Z75" i="9"/>
  <c r="Z61" i="9"/>
  <c r="AD61" i="9" s="1"/>
  <c r="Z68" i="9"/>
  <c r="AB70" i="9"/>
  <c r="L115" i="14"/>
  <c r="L112" i="14"/>
  <c r="L117" i="14"/>
  <c r="L107" i="14"/>
  <c r="M107" i="14"/>
  <c r="L104" i="14"/>
  <c r="M104" i="14"/>
  <c r="L109" i="14"/>
  <c r="M109" i="14"/>
  <c r="M103" i="14"/>
  <c r="L103" i="14"/>
  <c r="M105" i="14"/>
  <c r="L105" i="14"/>
  <c r="L116" i="14"/>
  <c r="L110" i="14"/>
  <c r="M108" i="14"/>
  <c r="L108" i="14"/>
  <c r="L102" i="14"/>
  <c r="M102" i="14"/>
  <c r="AD104" i="14"/>
  <c r="AD107" i="14"/>
  <c r="AB116" i="14"/>
  <c r="AB119" i="14"/>
  <c r="AD120" i="14"/>
  <c r="AC101" i="14"/>
  <c r="AD77" i="14"/>
  <c r="AB79" i="14"/>
  <c r="AD80" i="14"/>
  <c r="AB82" i="14"/>
  <c r="AD85" i="14"/>
  <c r="AB87" i="14"/>
  <c r="AD88" i="14"/>
  <c r="AB90" i="14"/>
  <c r="AD93" i="14"/>
  <c r="AC74" i="14"/>
  <c r="AD103" i="14"/>
  <c r="AB105" i="14"/>
  <c r="AD106" i="14"/>
  <c r="AB118" i="14"/>
  <c r="AB103" i="14"/>
  <c r="AE104" i="14"/>
  <c r="AB106" i="14"/>
  <c r="AE107" i="14"/>
  <c r="AB109" i="14"/>
  <c r="AD110" i="14"/>
  <c r="AD113" i="14"/>
  <c r="AE77" i="14"/>
  <c r="AC79" i="14"/>
  <c r="AE80" i="14"/>
  <c r="AC103" i="14"/>
  <c r="AC106" i="14"/>
  <c r="AC109" i="14"/>
  <c r="AB112" i="14"/>
  <c r="AB115" i="14"/>
  <c r="AD116" i="14"/>
  <c r="AD119" i="14"/>
  <c r="AB76" i="14"/>
  <c r="AD79" i="14"/>
  <c r="AB81" i="14"/>
  <c r="AD82" i="14"/>
  <c r="AB84" i="14"/>
  <c r="AD87" i="14"/>
  <c r="AB89" i="14"/>
  <c r="AD90" i="14"/>
  <c r="AB92" i="14"/>
  <c r="AD109" i="14"/>
  <c r="AE103" i="14"/>
  <c r="AE106" i="14"/>
  <c r="AE109" i="14"/>
  <c r="AD112" i="14"/>
  <c r="AD115" i="14"/>
  <c r="AC75" i="14"/>
  <c r="AB80" i="14"/>
  <c r="AB83" i="14"/>
  <c r="AB93" i="14"/>
  <c r="AD78" i="14"/>
  <c r="AD81" i="14"/>
  <c r="AC105" i="14"/>
  <c r="AE78" i="14"/>
  <c r="AD89" i="14"/>
  <c r="AD74" i="14"/>
  <c r="AD105" i="14"/>
  <c r="AB117" i="14"/>
  <c r="AD84" i="14"/>
  <c r="AF84" i="14" s="1"/>
  <c r="AD102" i="14"/>
  <c r="AD111" i="14"/>
  <c r="AB120" i="14"/>
  <c r="AD118" i="14"/>
  <c r="AD101" i="14"/>
  <c r="AD75" i="14"/>
  <c r="AB78" i="14"/>
  <c r="AC80" i="14"/>
  <c r="AB88" i="14"/>
  <c r="AB91" i="14"/>
  <c r="AC78" i="14"/>
  <c r="AB86" i="14"/>
  <c r="AC104" i="14"/>
  <c r="AB110" i="14"/>
  <c r="AF110" i="14" s="1"/>
  <c r="AB113" i="14"/>
  <c r="AF113" i="14" s="1"/>
  <c r="AC76" i="14"/>
  <c r="AD91" i="14"/>
  <c r="AB102" i="14"/>
  <c r="AF102" i="14" s="1"/>
  <c r="AB111" i="14"/>
  <c r="AF111" i="14" s="1"/>
  <c r="AD86" i="14"/>
  <c r="AC102" i="14"/>
  <c r="AB114" i="14"/>
  <c r="AE76" i="14"/>
  <c r="AE74" i="14"/>
  <c r="AD108" i="14"/>
  <c r="AB104" i="14"/>
  <c r="AB107" i="14"/>
  <c r="AF107" i="14" s="1"/>
  <c r="AE101" i="14"/>
  <c r="AE75" i="14"/>
  <c r="AD83" i="14"/>
  <c r="AC107" i="14"/>
  <c r="AG107" i="14" s="1"/>
  <c r="AB101" i="14"/>
  <c r="AB108" i="14"/>
  <c r="AD76" i="14"/>
  <c r="AC108" i="14"/>
  <c r="AE79" i="14"/>
  <c r="AE105" i="14"/>
  <c r="AE102" i="14"/>
  <c r="AD114" i="14"/>
  <c r="AB75" i="14"/>
  <c r="AD117" i="14"/>
  <c r="AC77" i="14"/>
  <c r="AD92" i="14"/>
  <c r="AE108" i="14"/>
  <c r="AB85" i="14"/>
  <c r="AB77" i="14"/>
  <c r="AB74" i="14"/>
  <c r="L106" i="14"/>
  <c r="M106" i="14"/>
  <c r="L119" i="14"/>
  <c r="L101" i="14"/>
  <c r="M101" i="14"/>
  <c r="L111" i="14"/>
  <c r="L74" i="14"/>
  <c r="M74" i="14"/>
  <c r="L82" i="14"/>
  <c r="C13" i="15" s="1"/>
  <c r="L93" i="14"/>
  <c r="L90" i="14"/>
  <c r="L87" i="14"/>
  <c r="C18" i="15" s="1"/>
  <c r="L85" i="14"/>
  <c r="L75" i="14"/>
  <c r="M75" i="14"/>
  <c r="L80" i="14"/>
  <c r="M80" i="14"/>
  <c r="L79" i="14"/>
  <c r="M79" i="14"/>
  <c r="L84" i="14"/>
  <c r="M78" i="14"/>
  <c r="L78" i="14"/>
  <c r="L88" i="14"/>
  <c r="C19" i="15" s="1"/>
  <c r="L91" i="14"/>
  <c r="C22" i="15" s="1"/>
  <c r="L81" i="14"/>
  <c r="L89" i="14"/>
  <c r="C20" i="15" s="1"/>
  <c r="L92" i="14"/>
  <c r="L77" i="14"/>
  <c r="M77" i="14"/>
  <c r="C34" i="15" s="1"/>
  <c r="L83" i="14"/>
  <c r="L86" i="14"/>
  <c r="L76" i="14"/>
  <c r="M76" i="14"/>
  <c r="A81" i="14"/>
  <c r="K81" i="14" s="1"/>
  <c r="A110" i="14"/>
  <c r="K110" i="14" s="1"/>
  <c r="C119" i="14"/>
  <c r="D119" i="14"/>
  <c r="C117" i="14"/>
  <c r="D117" i="14"/>
  <c r="C107" i="14"/>
  <c r="D107" i="14"/>
  <c r="C113" i="14"/>
  <c r="D113" i="14"/>
  <c r="C104" i="14"/>
  <c r="D104" i="14"/>
  <c r="C111" i="14"/>
  <c r="D111" i="14"/>
  <c r="D118" i="14"/>
  <c r="C118" i="14"/>
  <c r="C120" i="14"/>
  <c r="D120" i="14"/>
  <c r="C116" i="14"/>
  <c r="D116" i="14"/>
  <c r="D110" i="14"/>
  <c r="C110" i="14"/>
  <c r="B121" i="14"/>
  <c r="C101" i="14"/>
  <c r="D101" i="14"/>
  <c r="C109" i="14"/>
  <c r="D109" i="14"/>
  <c r="C114" i="14"/>
  <c r="D114" i="14"/>
  <c r="C105" i="14"/>
  <c r="D105" i="14"/>
  <c r="C112" i="14"/>
  <c r="D112" i="14"/>
  <c r="D106" i="14"/>
  <c r="C106" i="14"/>
  <c r="D115" i="14"/>
  <c r="C115" i="14"/>
  <c r="C108" i="14"/>
  <c r="D108" i="14"/>
  <c r="D102" i="14"/>
  <c r="C102" i="14"/>
  <c r="C103" i="14"/>
  <c r="D103" i="14"/>
  <c r="D87" i="14"/>
  <c r="D92" i="14"/>
  <c r="D90" i="14"/>
  <c r="D91" i="14"/>
  <c r="D82" i="14"/>
  <c r="D86" i="14"/>
  <c r="D79" i="14"/>
  <c r="D75" i="14"/>
  <c r="D93" i="14"/>
  <c r="D89" i="14"/>
  <c r="D77" i="14"/>
  <c r="D84" i="14"/>
  <c r="D81" i="14"/>
  <c r="D88" i="14"/>
  <c r="D85" i="14"/>
  <c r="D76" i="14"/>
  <c r="D78" i="14"/>
  <c r="D80" i="14"/>
  <c r="D83" i="14"/>
  <c r="D74" i="14"/>
  <c r="B94" i="14"/>
  <c r="H32" i="14"/>
  <c r="I26" i="14"/>
  <c r="H47" i="13"/>
  <c r="I41" i="13"/>
  <c r="A48" i="6"/>
  <c r="A49" i="6" s="1"/>
  <c r="A50" i="6" s="1"/>
  <c r="A51" i="6" s="1"/>
  <c r="A52" i="6" s="1"/>
  <c r="A53" i="6" s="1"/>
  <c r="A54" i="6" s="1"/>
  <c r="A55" i="6" s="1"/>
  <c r="A56" i="6" s="1"/>
  <c r="A57" i="6" s="1"/>
  <c r="A58" i="6" s="1"/>
  <c r="A59" i="6" s="1"/>
  <c r="A60" i="6" s="1"/>
  <c r="A61" i="6" s="1"/>
  <c r="A62" i="6" s="1"/>
  <c r="A63" i="6" s="1"/>
  <c r="A64" i="6" s="1"/>
  <c r="A65" i="6" s="1"/>
  <c r="A66" i="6" s="1"/>
  <c r="A67" i="6" s="1"/>
  <c r="E15" i="4"/>
  <c r="B7" i="6" s="1"/>
  <c r="A40" i="5"/>
  <c r="B40" i="5" s="1"/>
  <c r="C40" i="5" s="1"/>
  <c r="A34" i="15" l="1"/>
  <c r="F33" i="15"/>
  <c r="E33" i="15"/>
  <c r="C17" i="15"/>
  <c r="AF90" i="14"/>
  <c r="C9" i="15"/>
  <c r="C21" i="15"/>
  <c r="C33" i="15"/>
  <c r="AD64" i="9"/>
  <c r="M110" i="14"/>
  <c r="AE110" i="14"/>
  <c r="AC110" i="14"/>
  <c r="AG110" i="14" s="1"/>
  <c r="AG102" i="14"/>
  <c r="C16" i="15"/>
  <c r="AF77" i="14"/>
  <c r="AF75" i="14"/>
  <c r="AF93" i="14"/>
  <c r="AE81" i="14"/>
  <c r="AC81" i="14"/>
  <c r="C23" i="15"/>
  <c r="C36" i="15"/>
  <c r="AD60" i="9"/>
  <c r="AD76" i="9"/>
  <c r="AF120" i="14"/>
  <c r="AD77" i="9"/>
  <c r="AD67" i="9"/>
  <c r="C35" i="15"/>
  <c r="C10" i="15"/>
  <c r="AG76" i="14"/>
  <c r="AG109" i="14"/>
  <c r="AD75" i="9"/>
  <c r="AD71" i="9"/>
  <c r="AD94" i="14"/>
  <c r="AD73" i="9"/>
  <c r="AF105" i="14"/>
  <c r="AF116" i="14"/>
  <c r="AG79" i="14"/>
  <c r="AF80" i="14"/>
  <c r="C37" i="15"/>
  <c r="C32" i="15"/>
  <c r="AF118" i="14"/>
  <c r="AF88" i="14"/>
  <c r="AG80" i="14"/>
  <c r="U105" i="14"/>
  <c r="V105" i="14"/>
  <c r="X105" i="14"/>
  <c r="W105" i="14"/>
  <c r="S105" i="14"/>
  <c r="T105" i="14"/>
  <c r="I107" i="14"/>
  <c r="H107" i="14"/>
  <c r="AG74" i="14"/>
  <c r="AD66" i="9"/>
  <c r="I103" i="14"/>
  <c r="H103" i="14"/>
  <c r="H109" i="14"/>
  <c r="I109" i="14"/>
  <c r="AF101" i="14"/>
  <c r="AB121" i="14"/>
  <c r="H112" i="14"/>
  <c r="C12" i="15"/>
  <c r="L121" i="14"/>
  <c r="C7" i="15"/>
  <c r="AF89" i="14"/>
  <c r="AF106" i="14"/>
  <c r="AF79" i="14"/>
  <c r="H108" i="14"/>
  <c r="I108" i="14"/>
  <c r="H105" i="14"/>
  <c r="I105" i="14"/>
  <c r="H110" i="14"/>
  <c r="I110" i="14"/>
  <c r="AG108" i="14"/>
  <c r="AG78" i="14"/>
  <c r="Z79" i="9"/>
  <c r="AD59" i="9"/>
  <c r="X101" i="14"/>
  <c r="V101" i="14"/>
  <c r="R101" i="14"/>
  <c r="U101" i="14"/>
  <c r="S101" i="14"/>
  <c r="W101" i="14"/>
  <c r="T101" i="14"/>
  <c r="Q101" i="14"/>
  <c r="H113" i="14"/>
  <c r="C15" i="15"/>
  <c r="AF109" i="14"/>
  <c r="H101" i="14"/>
  <c r="I101" i="14"/>
  <c r="H118" i="14"/>
  <c r="T107" i="14"/>
  <c r="U107" i="14"/>
  <c r="W107" i="14"/>
  <c r="V107" i="14"/>
  <c r="X107" i="14"/>
  <c r="S107" i="14"/>
  <c r="AG105" i="14"/>
  <c r="AG106" i="14"/>
  <c r="AF114" i="14"/>
  <c r="AD121" i="14"/>
  <c r="AF83" i="14"/>
  <c r="AG103" i="14"/>
  <c r="AF115" i="14"/>
  <c r="AG104" i="14"/>
  <c r="AD68" i="9"/>
  <c r="AD72" i="9"/>
  <c r="H115" i="14"/>
  <c r="S110" i="14"/>
  <c r="T110" i="14"/>
  <c r="V110" i="14"/>
  <c r="U110" i="14"/>
  <c r="W110" i="14"/>
  <c r="X110" i="14"/>
  <c r="H111" i="14"/>
  <c r="H117" i="14"/>
  <c r="C14" i="15"/>
  <c r="C11" i="15"/>
  <c r="C31" i="15"/>
  <c r="AF92" i="14"/>
  <c r="AF117" i="14"/>
  <c r="AF103" i="14"/>
  <c r="AG101" i="14"/>
  <c r="AD65" i="9"/>
  <c r="I102" i="14"/>
  <c r="H102" i="14"/>
  <c r="H120" i="14"/>
  <c r="W102" i="14"/>
  <c r="X102" i="14"/>
  <c r="Q102" i="14"/>
  <c r="R102" i="14"/>
  <c r="S102" i="14"/>
  <c r="V102" i="14"/>
  <c r="T102" i="14"/>
  <c r="U102" i="14"/>
  <c r="AF85" i="14"/>
  <c r="AD74" i="9"/>
  <c r="T108" i="14"/>
  <c r="U108" i="14"/>
  <c r="V108" i="14"/>
  <c r="W108" i="14"/>
  <c r="S108" i="14"/>
  <c r="X108" i="14"/>
  <c r="C24" i="15"/>
  <c r="H114" i="14"/>
  <c r="W104" i="14"/>
  <c r="X104" i="14"/>
  <c r="Q104" i="14"/>
  <c r="R104" i="14"/>
  <c r="S104" i="14"/>
  <c r="T104" i="14"/>
  <c r="V104" i="14"/>
  <c r="U104" i="14"/>
  <c r="C5" i="15"/>
  <c r="AG77" i="14"/>
  <c r="AF76" i="14"/>
  <c r="AF91" i="14"/>
  <c r="AF78" i="14"/>
  <c r="AF82" i="14"/>
  <c r="AB79" i="9"/>
  <c r="T106" i="14"/>
  <c r="U106" i="14"/>
  <c r="V106" i="14"/>
  <c r="W106" i="14"/>
  <c r="X106" i="14"/>
  <c r="S106" i="14"/>
  <c r="AG75" i="14"/>
  <c r="AF112" i="14"/>
  <c r="W103" i="14"/>
  <c r="X103" i="14"/>
  <c r="R103" i="14"/>
  <c r="Q103" i="14"/>
  <c r="U103" i="14"/>
  <c r="S103" i="14"/>
  <c r="T103" i="14"/>
  <c r="V103" i="14"/>
  <c r="H106" i="14"/>
  <c r="I106" i="14"/>
  <c r="T109" i="14"/>
  <c r="W109" i="14"/>
  <c r="U109" i="14"/>
  <c r="V109" i="14"/>
  <c r="X109" i="14"/>
  <c r="S109" i="14"/>
  <c r="H116" i="14"/>
  <c r="H104" i="14"/>
  <c r="I104" i="14"/>
  <c r="H119" i="14"/>
  <c r="C8" i="15"/>
  <c r="C6" i="15"/>
  <c r="AF74" i="14"/>
  <c r="AB94" i="14"/>
  <c r="AF108" i="14"/>
  <c r="AF104" i="14"/>
  <c r="AF86" i="14"/>
  <c r="AF81" i="14"/>
  <c r="AF87" i="14"/>
  <c r="AF119" i="14"/>
  <c r="AD70" i="9"/>
  <c r="AD69" i="9"/>
  <c r="AD78" i="9"/>
  <c r="X74" i="14"/>
  <c r="W74" i="14"/>
  <c r="S74" i="14"/>
  <c r="T74" i="14"/>
  <c r="Q74" i="14"/>
  <c r="R74" i="14"/>
  <c r="U74" i="14"/>
  <c r="V74" i="14"/>
  <c r="V75" i="14"/>
  <c r="W75" i="14"/>
  <c r="X75" i="14"/>
  <c r="Q75" i="14"/>
  <c r="R75" i="14"/>
  <c r="S75" i="14"/>
  <c r="T75" i="14"/>
  <c r="U75" i="14"/>
  <c r="T80" i="14"/>
  <c r="U80" i="14"/>
  <c r="V80" i="14"/>
  <c r="W80" i="14"/>
  <c r="X80" i="14"/>
  <c r="S80" i="14"/>
  <c r="M81" i="14"/>
  <c r="C38" i="15" s="1"/>
  <c r="T78" i="14"/>
  <c r="U78" i="14"/>
  <c r="V78" i="14"/>
  <c r="W78" i="14"/>
  <c r="X78" i="14"/>
  <c r="S78" i="14"/>
  <c r="S81" i="14"/>
  <c r="V81" i="14"/>
  <c r="T81" i="14"/>
  <c r="U81" i="14"/>
  <c r="X81" i="14"/>
  <c r="W81" i="14"/>
  <c r="W79" i="14"/>
  <c r="X79" i="14"/>
  <c r="S79" i="14"/>
  <c r="T79" i="14"/>
  <c r="U79" i="14"/>
  <c r="V79" i="14"/>
  <c r="Q76" i="14"/>
  <c r="S76" i="14"/>
  <c r="T76" i="14"/>
  <c r="U76" i="14"/>
  <c r="V76" i="14"/>
  <c r="W76" i="14"/>
  <c r="X76" i="14"/>
  <c r="R76" i="14"/>
  <c r="R77" i="14"/>
  <c r="S77" i="14"/>
  <c r="T77" i="14"/>
  <c r="U77" i="14"/>
  <c r="W77" i="14"/>
  <c r="X77" i="14"/>
  <c r="Q77" i="14"/>
  <c r="V77" i="14"/>
  <c r="L94" i="14"/>
  <c r="A111" i="14"/>
  <c r="V111" i="14" s="1"/>
  <c r="A82" i="14"/>
  <c r="E40" i="5"/>
  <c r="A41" i="5"/>
  <c r="B41" i="5" s="1"/>
  <c r="C41" i="5" s="1"/>
  <c r="C121" i="14"/>
  <c r="D121" i="14"/>
  <c r="D94" i="14"/>
  <c r="I32" i="14"/>
  <c r="Q78" i="14" s="1"/>
  <c r="J26" i="14"/>
  <c r="I47" i="13"/>
  <c r="J41" i="13"/>
  <c r="D48" i="6"/>
  <c r="F34" i="15" l="1"/>
  <c r="A35" i="15"/>
  <c r="E34" i="15"/>
  <c r="AG81" i="14"/>
  <c r="I111" i="14"/>
  <c r="W111" i="14"/>
  <c r="T111" i="14"/>
  <c r="S111" i="14"/>
  <c r="X111" i="14"/>
  <c r="T82" i="14"/>
  <c r="K82" i="14"/>
  <c r="AE82" i="14"/>
  <c r="AC82" i="14"/>
  <c r="K111" i="14"/>
  <c r="AC111" i="14"/>
  <c r="M111" i="14"/>
  <c r="AE111" i="14"/>
  <c r="U111" i="14"/>
  <c r="Z103" i="14"/>
  <c r="H121" i="14"/>
  <c r="AF121" i="14"/>
  <c r="AF94" i="14"/>
  <c r="Y103" i="14"/>
  <c r="C25" i="15"/>
  <c r="Z102" i="14"/>
  <c r="R105" i="14"/>
  <c r="Z105" i="14" s="1"/>
  <c r="Y102" i="14"/>
  <c r="Y101" i="14"/>
  <c r="AD79" i="9"/>
  <c r="Q105" i="14"/>
  <c r="Y105" i="14" s="1"/>
  <c r="Z104" i="14"/>
  <c r="Z101" i="14"/>
  <c r="P48" i="6"/>
  <c r="Z48" i="6"/>
  <c r="AA48" i="6"/>
  <c r="X48" i="6"/>
  <c r="V48" i="6"/>
  <c r="R48" i="6"/>
  <c r="O48" i="6"/>
  <c r="Y48" i="6"/>
  <c r="W48" i="6"/>
  <c r="Q48" i="6"/>
  <c r="Y104" i="14"/>
  <c r="Y77" i="14"/>
  <c r="V82" i="14"/>
  <c r="U82" i="14"/>
  <c r="Z74" i="14"/>
  <c r="M82" i="14"/>
  <c r="C39" i="15" s="1"/>
  <c r="Y76" i="14"/>
  <c r="S82" i="14"/>
  <c r="Y74" i="14"/>
  <c r="Y78" i="14"/>
  <c r="R78" i="14"/>
  <c r="Z78" i="14" s="1"/>
  <c r="Z77" i="14"/>
  <c r="X82" i="14"/>
  <c r="W82" i="14"/>
  <c r="Z75" i="14"/>
  <c r="Z76" i="14"/>
  <c r="Y75" i="14"/>
  <c r="A83" i="14"/>
  <c r="A112" i="14"/>
  <c r="E41" i="5"/>
  <c r="J48" i="6"/>
  <c r="K48" i="6"/>
  <c r="F48" i="6"/>
  <c r="S5" i="15" s="1"/>
  <c r="G48" i="6"/>
  <c r="S31" i="15" s="1"/>
  <c r="A42" i="5"/>
  <c r="B42" i="5" s="1"/>
  <c r="C42" i="5" s="1"/>
  <c r="K26" i="14"/>
  <c r="J32" i="14"/>
  <c r="J47" i="13"/>
  <c r="K41" i="13"/>
  <c r="A36" i="15" l="1"/>
  <c r="F35" i="15"/>
  <c r="E35" i="15"/>
  <c r="K112" i="14"/>
  <c r="M112" i="14"/>
  <c r="AC112" i="14"/>
  <c r="AG112" i="14" s="1"/>
  <c r="AE112" i="14"/>
  <c r="I112" i="14"/>
  <c r="U112" i="14"/>
  <c r="S112" i="14"/>
  <c r="V112" i="14"/>
  <c r="X112" i="14"/>
  <c r="T112" i="14"/>
  <c r="W112" i="14"/>
  <c r="AG82" i="14"/>
  <c r="AG111" i="14"/>
  <c r="K83" i="14"/>
  <c r="AE83" i="14"/>
  <c r="AC83" i="14"/>
  <c r="AG83" i="14" s="1"/>
  <c r="S48" i="6"/>
  <c r="V5" i="15"/>
  <c r="R106" i="14"/>
  <c r="Q106" i="14"/>
  <c r="W5" i="15"/>
  <c r="AB48" i="6"/>
  <c r="W31" i="15"/>
  <c r="R79" i="14"/>
  <c r="Z79" i="14" s="1"/>
  <c r="Q79" i="14"/>
  <c r="M83" i="14"/>
  <c r="C40" i="15" s="1"/>
  <c r="S83" i="14"/>
  <c r="T83" i="14"/>
  <c r="X83" i="14"/>
  <c r="U83" i="14"/>
  <c r="V83" i="14"/>
  <c r="W83" i="14"/>
  <c r="A113" i="14"/>
  <c r="A84" i="14"/>
  <c r="E42" i="5"/>
  <c r="T48" i="6"/>
  <c r="AC48" i="6"/>
  <c r="A43" i="5"/>
  <c r="B43" i="5" s="1"/>
  <c r="C43" i="5" s="1"/>
  <c r="K32" i="14"/>
  <c r="L26" i="14"/>
  <c r="K47" i="13"/>
  <c r="L41" i="13"/>
  <c r="B15" i="4"/>
  <c r="A37" i="15" l="1"/>
  <c r="F36" i="15"/>
  <c r="E36" i="15"/>
  <c r="K113" i="14"/>
  <c r="M113" i="14"/>
  <c r="AE113" i="14"/>
  <c r="AC113" i="14"/>
  <c r="W113" i="14"/>
  <c r="X113" i="14"/>
  <c r="U113" i="14"/>
  <c r="V113" i="14"/>
  <c r="S113" i="14"/>
  <c r="I113" i="14"/>
  <c r="T113" i="14"/>
  <c r="K84" i="14"/>
  <c r="AC84" i="14"/>
  <c r="AE84" i="14"/>
  <c r="Q107" i="14"/>
  <c r="Y107" i="14" s="1"/>
  <c r="R107" i="14"/>
  <c r="Z107" i="14" s="1"/>
  <c r="Y106" i="14"/>
  <c r="Z106" i="14"/>
  <c r="M84" i="14"/>
  <c r="C41" i="15" s="1"/>
  <c r="W84" i="14"/>
  <c r="S84" i="14"/>
  <c r="T84" i="14"/>
  <c r="V84" i="14"/>
  <c r="X84" i="14"/>
  <c r="U84" i="14"/>
  <c r="Y79" i="14"/>
  <c r="R80" i="14"/>
  <c r="Z80" i="14" s="1"/>
  <c r="Q80" i="14"/>
  <c r="Y80" i="14" s="1"/>
  <c r="A85" i="14"/>
  <c r="A114" i="14"/>
  <c r="E43" i="5"/>
  <c r="A44" i="5"/>
  <c r="B44" i="5" s="1"/>
  <c r="C44" i="5" s="1"/>
  <c r="M26" i="14"/>
  <c r="L32" i="14"/>
  <c r="L47" i="13"/>
  <c r="M41" i="13"/>
  <c r="C48" i="9"/>
  <c r="D48" i="9" s="1"/>
  <c r="E48" i="9" s="1"/>
  <c r="F48" i="9" s="1"/>
  <c r="G48" i="9" s="1"/>
  <c r="H48" i="9" s="1"/>
  <c r="I48" i="9" s="1"/>
  <c r="J48" i="9" s="1"/>
  <c r="K48" i="9" s="1"/>
  <c r="L48" i="9" s="1"/>
  <c r="M48" i="9" s="1"/>
  <c r="N48" i="9" s="1"/>
  <c r="O48" i="9" s="1"/>
  <c r="P48" i="9" s="1"/>
  <c r="Q48" i="9" s="1"/>
  <c r="R48" i="9" s="1"/>
  <c r="S48" i="9" s="1"/>
  <c r="T48" i="9" s="1"/>
  <c r="U48" i="9" s="1"/>
  <c r="V48" i="9" s="1"/>
  <c r="W48" i="9" s="1"/>
  <c r="X48" i="9" s="1"/>
  <c r="Y48" i="9" s="1"/>
  <c r="Y47" i="9"/>
  <c r="X47" i="9"/>
  <c r="W47" i="9"/>
  <c r="V47" i="9"/>
  <c r="U47" i="9"/>
  <c r="T47" i="9"/>
  <c r="S47" i="9"/>
  <c r="R47" i="9"/>
  <c r="Q47" i="9"/>
  <c r="P47" i="9"/>
  <c r="O47" i="9"/>
  <c r="N47" i="9"/>
  <c r="M47" i="9"/>
  <c r="L47" i="9"/>
  <c r="K47" i="9"/>
  <c r="J47" i="9"/>
  <c r="I47" i="9"/>
  <c r="H47" i="9"/>
  <c r="G47" i="9"/>
  <c r="F47" i="9"/>
  <c r="E47" i="9"/>
  <c r="D47" i="9"/>
  <c r="C47" i="9"/>
  <c r="B47" i="9"/>
  <c r="Y46" i="9"/>
  <c r="X46" i="9"/>
  <c r="W46" i="9"/>
  <c r="V46" i="9"/>
  <c r="U46" i="9"/>
  <c r="T46" i="9"/>
  <c r="S46" i="9"/>
  <c r="R46" i="9"/>
  <c r="Q46" i="9"/>
  <c r="P46" i="9"/>
  <c r="O46" i="9"/>
  <c r="N46" i="9"/>
  <c r="M46" i="9"/>
  <c r="L46" i="9"/>
  <c r="K46" i="9"/>
  <c r="J46" i="9"/>
  <c r="I46" i="9"/>
  <c r="H46" i="9"/>
  <c r="G46" i="9"/>
  <c r="F46" i="9"/>
  <c r="E46" i="9"/>
  <c r="D46" i="9"/>
  <c r="C46" i="9"/>
  <c r="B46" i="9"/>
  <c r="Y45" i="9"/>
  <c r="X45" i="9"/>
  <c r="W45" i="9"/>
  <c r="V45" i="9"/>
  <c r="U45" i="9"/>
  <c r="T45" i="9"/>
  <c r="S45" i="9"/>
  <c r="R45" i="9"/>
  <c r="Q45" i="9"/>
  <c r="P45" i="9"/>
  <c r="O45" i="9"/>
  <c r="N45" i="9"/>
  <c r="M45" i="9"/>
  <c r="L45" i="9"/>
  <c r="K45" i="9"/>
  <c r="J45" i="9"/>
  <c r="I45" i="9"/>
  <c r="H45" i="9"/>
  <c r="G45" i="9"/>
  <c r="F45" i="9"/>
  <c r="E45" i="9"/>
  <c r="D45" i="9"/>
  <c r="C45" i="9"/>
  <c r="B45" i="9"/>
  <c r="Y44" i="9"/>
  <c r="X44" i="9"/>
  <c r="W44" i="9"/>
  <c r="V44" i="9"/>
  <c r="U44" i="9"/>
  <c r="T44" i="9"/>
  <c r="S44" i="9"/>
  <c r="R44" i="9"/>
  <c r="Q44" i="9"/>
  <c r="P44" i="9"/>
  <c r="O44" i="9"/>
  <c r="N44" i="9"/>
  <c r="M44" i="9"/>
  <c r="L44" i="9"/>
  <c r="K44" i="9"/>
  <c r="J44" i="9"/>
  <c r="I44" i="9"/>
  <c r="H44" i="9"/>
  <c r="G44" i="9"/>
  <c r="F44" i="9"/>
  <c r="E44" i="9"/>
  <c r="D44" i="9"/>
  <c r="C44" i="9"/>
  <c r="B44" i="9"/>
  <c r="C42" i="9"/>
  <c r="D42" i="9" s="1"/>
  <c r="E42" i="9" s="1"/>
  <c r="F42" i="9" s="1"/>
  <c r="G42" i="9" s="1"/>
  <c r="H42" i="9" s="1"/>
  <c r="I42" i="9" s="1"/>
  <c r="J42" i="9" s="1"/>
  <c r="K42" i="9" s="1"/>
  <c r="L42" i="9" s="1"/>
  <c r="M42" i="9" s="1"/>
  <c r="N42" i="9" s="1"/>
  <c r="O42" i="9" s="1"/>
  <c r="P42" i="9" s="1"/>
  <c r="Q42" i="9" s="1"/>
  <c r="R42" i="9" s="1"/>
  <c r="S42" i="9" s="1"/>
  <c r="T42" i="9" s="1"/>
  <c r="U42" i="9" s="1"/>
  <c r="V42" i="9" s="1"/>
  <c r="W42" i="9" s="1"/>
  <c r="X42" i="9" s="1"/>
  <c r="Y42" i="9" s="1"/>
  <c r="C36" i="9"/>
  <c r="D36" i="9" s="1"/>
  <c r="E36" i="9" s="1"/>
  <c r="F36" i="9" s="1"/>
  <c r="G36" i="9" s="1"/>
  <c r="H36" i="9" s="1"/>
  <c r="I36" i="9" s="1"/>
  <c r="J36" i="9" s="1"/>
  <c r="K36" i="9" s="1"/>
  <c r="L36" i="9" s="1"/>
  <c r="M36" i="9" s="1"/>
  <c r="N36" i="9" s="1"/>
  <c r="O36" i="9" s="1"/>
  <c r="P36" i="9" s="1"/>
  <c r="Q36" i="9" s="1"/>
  <c r="R36" i="9" s="1"/>
  <c r="S36" i="9" s="1"/>
  <c r="T36" i="9" s="1"/>
  <c r="U36" i="9" s="1"/>
  <c r="V36" i="9" s="1"/>
  <c r="W36" i="9" s="1"/>
  <c r="X36" i="9" s="1"/>
  <c r="Y36" i="9" s="1"/>
  <c r="F37" i="15" l="1"/>
  <c r="A38" i="15"/>
  <c r="E37" i="15"/>
  <c r="AG84" i="14"/>
  <c r="AG113" i="14"/>
  <c r="K85" i="14"/>
  <c r="AE85" i="14"/>
  <c r="AC85" i="14"/>
  <c r="AG85" i="14" s="1"/>
  <c r="K114" i="14"/>
  <c r="AE114" i="14"/>
  <c r="M114" i="14"/>
  <c r="AC114" i="14"/>
  <c r="S114" i="14"/>
  <c r="X114" i="14"/>
  <c r="I114" i="14"/>
  <c r="U114" i="14"/>
  <c r="V114" i="14"/>
  <c r="W114" i="14"/>
  <c r="T114" i="14"/>
  <c r="Q108" i="14"/>
  <c r="R108" i="14"/>
  <c r="Q81" i="14"/>
  <c r="Y81" i="14" s="1"/>
  <c r="R81" i="14"/>
  <c r="M85" i="14"/>
  <c r="C42" i="15" s="1"/>
  <c r="X85" i="14"/>
  <c r="S85" i="14"/>
  <c r="T85" i="14"/>
  <c r="U85" i="14"/>
  <c r="V85" i="14"/>
  <c r="W85" i="14"/>
  <c r="A115" i="14"/>
  <c r="A86" i="14"/>
  <c r="E44" i="5"/>
  <c r="A45" i="5"/>
  <c r="B45" i="5" s="1"/>
  <c r="C45" i="5" s="1"/>
  <c r="B34" i="9"/>
  <c r="B37" i="9" s="1"/>
  <c r="M32" i="14"/>
  <c r="N26" i="14"/>
  <c r="N41" i="13"/>
  <c r="M47" i="13"/>
  <c r="F22" i="9"/>
  <c r="E22" i="9"/>
  <c r="C9" i="7"/>
  <c r="C10" i="7"/>
  <c r="B11" i="5"/>
  <c r="D16" i="5"/>
  <c r="T43" i="5" s="1"/>
  <c r="D15" i="5"/>
  <c r="U43" i="5" s="1"/>
  <c r="D14" i="5"/>
  <c r="X43" i="5" s="1"/>
  <c r="B20" i="5"/>
  <c r="B21" i="5" s="1"/>
  <c r="Q14" i="5"/>
  <c r="B16" i="5" s="1"/>
  <c r="C16" i="5" s="1"/>
  <c r="Q15" i="5"/>
  <c r="Q16" i="5"/>
  <c r="B31" i="7"/>
  <c r="C29" i="7"/>
  <c r="C30" i="7"/>
  <c r="F38" i="15" l="1"/>
  <c r="A39" i="15"/>
  <c r="E38" i="15"/>
  <c r="AG114" i="14"/>
  <c r="K86" i="14"/>
  <c r="AC86" i="14"/>
  <c r="AE86" i="14"/>
  <c r="K115" i="14"/>
  <c r="AE115" i="14"/>
  <c r="M115" i="14"/>
  <c r="AC115" i="14"/>
  <c r="I115" i="14"/>
  <c r="V115" i="14"/>
  <c r="X115" i="14"/>
  <c r="S115" i="14"/>
  <c r="T115" i="14"/>
  <c r="W115" i="14"/>
  <c r="U115" i="14"/>
  <c r="W43" i="5"/>
  <c r="R109" i="14"/>
  <c r="Z109" i="14" s="1"/>
  <c r="Q109" i="14"/>
  <c r="Y109" i="14" s="1"/>
  <c r="Z108" i="14"/>
  <c r="T40" i="5"/>
  <c r="S40" i="5"/>
  <c r="T41" i="5"/>
  <c r="S41" i="5"/>
  <c r="S42" i="5"/>
  <c r="T42" i="5"/>
  <c r="W44" i="5"/>
  <c r="X44" i="5"/>
  <c r="V44" i="5"/>
  <c r="U44" i="5"/>
  <c r="S44" i="5"/>
  <c r="T44" i="5"/>
  <c r="S43" i="5"/>
  <c r="Y43" i="5" s="1"/>
  <c r="Y108" i="14"/>
  <c r="W40" i="5"/>
  <c r="X40" i="5"/>
  <c r="W41" i="5"/>
  <c r="X41" i="5"/>
  <c r="W42" i="5"/>
  <c r="X42" i="5"/>
  <c r="U40" i="5"/>
  <c r="V40" i="5"/>
  <c r="U41" i="5"/>
  <c r="V41" i="5"/>
  <c r="U42" i="5"/>
  <c r="V42" i="5"/>
  <c r="V43" i="5"/>
  <c r="M86" i="14"/>
  <c r="C43" i="15" s="1"/>
  <c r="X86" i="14"/>
  <c r="S86" i="14"/>
  <c r="T86" i="14"/>
  <c r="U86" i="14"/>
  <c r="V86" i="14"/>
  <c r="W86" i="14"/>
  <c r="Z81" i="14"/>
  <c r="R82" i="14"/>
  <c r="Z82" i="14" s="1"/>
  <c r="Q82" i="14"/>
  <c r="A116" i="14"/>
  <c r="A87" i="14"/>
  <c r="D45" i="5"/>
  <c r="H45" i="5" s="1"/>
  <c r="E45" i="5"/>
  <c r="D40" i="5"/>
  <c r="D41" i="5"/>
  <c r="D42" i="5"/>
  <c r="D43" i="5"/>
  <c r="D44" i="5"/>
  <c r="A46" i="5"/>
  <c r="B46" i="5" s="1"/>
  <c r="C46" i="5" s="1"/>
  <c r="B43" i="9"/>
  <c r="C37" i="9"/>
  <c r="C43" i="9" s="1"/>
  <c r="O26" i="14"/>
  <c r="N32" i="14"/>
  <c r="O41" i="13"/>
  <c r="N47" i="13"/>
  <c r="T15" i="5"/>
  <c r="C14" i="5" s="1"/>
  <c r="T16" i="5"/>
  <c r="C15" i="5" s="1"/>
  <c r="C11" i="7"/>
  <c r="C12" i="7"/>
  <c r="C13" i="7"/>
  <c r="C14" i="7"/>
  <c r="C15" i="7"/>
  <c r="C16" i="7"/>
  <c r="C17" i="7"/>
  <c r="C18" i="7"/>
  <c r="C19" i="7"/>
  <c r="C20" i="7"/>
  <c r="C21" i="7"/>
  <c r="C22" i="7"/>
  <c r="C23" i="7"/>
  <c r="C24" i="7"/>
  <c r="C25" i="7"/>
  <c r="C26" i="7"/>
  <c r="C27" i="7"/>
  <c r="C28" i="7"/>
  <c r="C31" i="7" s="1"/>
  <c r="C6" i="3"/>
  <c r="D6" i="3"/>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C27" i="3"/>
  <c r="D27" i="3"/>
  <c r="C28" i="3"/>
  <c r="D28" i="3"/>
  <c r="C29" i="3"/>
  <c r="D29" i="3"/>
  <c r="C30" i="3"/>
  <c r="D30" i="3"/>
  <c r="C31" i="3"/>
  <c r="D31" i="3"/>
  <c r="C32" i="3"/>
  <c r="D32" i="3"/>
  <c r="C33" i="3"/>
  <c r="D33" i="3"/>
  <c r="C34" i="3"/>
  <c r="D34" i="3"/>
  <c r="C35" i="3"/>
  <c r="D35" i="3"/>
  <c r="C36" i="3"/>
  <c r="D36" i="3"/>
  <c r="C37" i="3"/>
  <c r="D37" i="3"/>
  <c r="C38" i="3"/>
  <c r="D38" i="3"/>
  <c r="C39" i="3"/>
  <c r="D39" i="3"/>
  <c r="C40" i="3"/>
  <c r="D40" i="3"/>
  <c r="C41" i="3"/>
  <c r="D41" i="3"/>
  <c r="C42" i="3"/>
  <c r="D42" i="3"/>
  <c r="C43" i="3"/>
  <c r="D43" i="3"/>
  <c r="C44" i="3"/>
  <c r="D44" i="3"/>
  <c r="D5" i="3"/>
  <c r="C5" i="3"/>
  <c r="B10" i="4"/>
  <c r="B11" i="4"/>
  <c r="F23" i="3"/>
  <c r="F22" i="3" s="1"/>
  <c r="F21" i="3" s="1"/>
  <c r="F20" i="3" s="1"/>
  <c r="F19" i="3" s="1"/>
  <c r="F18" i="3" s="1"/>
  <c r="F17" i="3" s="1"/>
  <c r="F16" i="3" s="1"/>
  <c r="F15" i="3" s="1"/>
  <c r="F14" i="3" s="1"/>
  <c r="F13" i="3" s="1"/>
  <c r="F12" i="3" s="1"/>
  <c r="F11" i="3" s="1"/>
  <c r="F10" i="3" s="1"/>
  <c r="F9" i="3" s="1"/>
  <c r="F8" i="3" s="1"/>
  <c r="F7" i="3" s="1"/>
  <c r="F6" i="3" s="1"/>
  <c r="F5" i="3" s="1"/>
  <c r="F4" i="3" s="1"/>
  <c r="F39" i="15" l="1"/>
  <c r="A40" i="15"/>
  <c r="E39" i="15"/>
  <c r="AG115" i="14"/>
  <c r="K87" i="14"/>
  <c r="AC87" i="14"/>
  <c r="AE87" i="14"/>
  <c r="AG86" i="14"/>
  <c r="K116" i="14"/>
  <c r="M116" i="14"/>
  <c r="AC116" i="14"/>
  <c r="AE116" i="14"/>
  <c r="V116" i="14"/>
  <c r="W116" i="14"/>
  <c r="S116" i="14"/>
  <c r="U116" i="14"/>
  <c r="X116" i="14"/>
  <c r="I116" i="14"/>
  <c r="T116" i="14"/>
  <c r="J36" i="15"/>
  <c r="J45" i="5"/>
  <c r="O40" i="5"/>
  <c r="N40" i="5"/>
  <c r="L40" i="5"/>
  <c r="M40" i="5"/>
  <c r="G40" i="5"/>
  <c r="H40" i="5"/>
  <c r="U45" i="5"/>
  <c r="V45" i="5"/>
  <c r="S45" i="5"/>
  <c r="T45" i="5"/>
  <c r="W45" i="5"/>
  <c r="X45" i="5"/>
  <c r="Z42" i="5"/>
  <c r="L45" i="5"/>
  <c r="M45" i="5"/>
  <c r="N45" i="5"/>
  <c r="O45" i="5"/>
  <c r="Z44" i="5"/>
  <c r="Y42" i="5"/>
  <c r="G45" i="5"/>
  <c r="Z40" i="5"/>
  <c r="Q110" i="14"/>
  <c r="R110" i="14"/>
  <c r="L41" i="5"/>
  <c r="M41" i="5"/>
  <c r="O41" i="5"/>
  <c r="N41" i="5"/>
  <c r="H41" i="5"/>
  <c r="G41" i="5"/>
  <c r="Y41" i="5"/>
  <c r="L44" i="5"/>
  <c r="M44" i="5"/>
  <c r="N44" i="5"/>
  <c r="O44" i="5"/>
  <c r="G44" i="5"/>
  <c r="H44" i="5"/>
  <c r="Z41" i="5"/>
  <c r="L42" i="5"/>
  <c r="M42" i="5"/>
  <c r="N42" i="5"/>
  <c r="O42" i="5"/>
  <c r="G42" i="5"/>
  <c r="H42" i="5"/>
  <c r="Y44" i="5"/>
  <c r="L43" i="5"/>
  <c r="M43" i="5"/>
  <c r="O43" i="5"/>
  <c r="N43" i="5"/>
  <c r="H43" i="5"/>
  <c r="G43" i="5"/>
  <c r="Y40" i="5"/>
  <c r="Z43" i="5"/>
  <c r="Y82" i="14"/>
  <c r="Q83" i="14"/>
  <c r="Y83" i="14" s="1"/>
  <c r="R83" i="14"/>
  <c r="Z83" i="14" s="1"/>
  <c r="M87" i="14"/>
  <c r="C44" i="15" s="1"/>
  <c r="V87" i="14"/>
  <c r="W87" i="14"/>
  <c r="X87" i="14"/>
  <c r="T87" i="14"/>
  <c r="S87" i="14"/>
  <c r="U87" i="14"/>
  <c r="A117" i="14"/>
  <c r="A88" i="14"/>
  <c r="D37" i="9"/>
  <c r="D46" i="5"/>
  <c r="G46" i="5" s="1"/>
  <c r="E46" i="5"/>
  <c r="C18" i="4"/>
  <c r="A47" i="5"/>
  <c r="B47" i="5" s="1"/>
  <c r="C47" i="5" s="1"/>
  <c r="P26" i="14"/>
  <c r="O32" i="14"/>
  <c r="P41" i="13"/>
  <c r="O47" i="13"/>
  <c r="E37" i="9"/>
  <c r="D43" i="9"/>
  <c r="D17" i="5"/>
  <c r="B22" i="5" s="1"/>
  <c r="F40" i="15" l="1"/>
  <c r="A41" i="15"/>
  <c r="E40" i="15"/>
  <c r="AG87" i="14"/>
  <c r="K117" i="14"/>
  <c r="M117" i="14"/>
  <c r="AE117" i="14"/>
  <c r="AC117" i="14"/>
  <c r="S117" i="14"/>
  <c r="T117" i="14"/>
  <c r="I117" i="14"/>
  <c r="X117" i="14"/>
  <c r="U117" i="14"/>
  <c r="V117" i="14"/>
  <c r="W117" i="14"/>
  <c r="AG116" i="14"/>
  <c r="K88" i="14"/>
  <c r="AE88" i="14"/>
  <c r="AC88" i="14"/>
  <c r="Q41" i="5"/>
  <c r="H46" i="5"/>
  <c r="J46" i="5" s="1"/>
  <c r="Z45" i="5"/>
  <c r="Q43" i="5"/>
  <c r="Q44" i="5"/>
  <c r="P41" i="5"/>
  <c r="P43" i="5"/>
  <c r="Q42" i="5"/>
  <c r="P42" i="5"/>
  <c r="I46" i="5"/>
  <c r="J11" i="15"/>
  <c r="Q40" i="5"/>
  <c r="Q111" i="14"/>
  <c r="Y111" i="14" s="1"/>
  <c r="R111" i="14"/>
  <c r="Z111" i="14" s="1"/>
  <c r="P44" i="5"/>
  <c r="J43" i="5"/>
  <c r="J34" i="15"/>
  <c r="J6" i="15"/>
  <c r="I41" i="5"/>
  <c r="P45" i="5"/>
  <c r="J33" i="15"/>
  <c r="J42" i="5"/>
  <c r="J35" i="15"/>
  <c r="J44" i="5"/>
  <c r="J32" i="15"/>
  <c r="J41" i="5"/>
  <c r="P40" i="5"/>
  <c r="J37" i="15"/>
  <c r="Y45" i="5"/>
  <c r="I43" i="5"/>
  <c r="J8" i="15"/>
  <c r="Q45" i="5"/>
  <c r="U46" i="5"/>
  <c r="V46" i="5"/>
  <c r="S46" i="5"/>
  <c r="T46" i="5"/>
  <c r="W46" i="5"/>
  <c r="X46" i="5"/>
  <c r="J7" i="15"/>
  <c r="I42" i="5"/>
  <c r="J9" i="15"/>
  <c r="I44" i="5"/>
  <c r="J10" i="15"/>
  <c r="I45" i="5"/>
  <c r="J31" i="15"/>
  <c r="J40" i="5"/>
  <c r="Z110" i="14"/>
  <c r="Y110" i="14"/>
  <c r="L46" i="5"/>
  <c r="M46" i="5"/>
  <c r="N46" i="5"/>
  <c r="O46" i="5"/>
  <c r="J5" i="15"/>
  <c r="I40" i="5"/>
  <c r="M88" i="14"/>
  <c r="C45" i="15" s="1"/>
  <c r="W88" i="14"/>
  <c r="X88" i="14"/>
  <c r="V88" i="14"/>
  <c r="S88" i="14"/>
  <c r="T88" i="14"/>
  <c r="U88" i="14"/>
  <c r="Q84" i="14"/>
  <c r="Y84" i="14" s="1"/>
  <c r="R84" i="14"/>
  <c r="Z84" i="14" s="1"/>
  <c r="A89" i="14"/>
  <c r="A118" i="14"/>
  <c r="E47" i="5"/>
  <c r="D47" i="5"/>
  <c r="A48" i="5"/>
  <c r="B48" i="5" s="1"/>
  <c r="C48" i="5" s="1"/>
  <c r="P32" i="14"/>
  <c r="Q26" i="14"/>
  <c r="P47" i="13"/>
  <c r="Q41" i="13"/>
  <c r="F37" i="9"/>
  <c r="E43" i="9"/>
  <c r="B62" i="9"/>
  <c r="D62" i="9" s="1"/>
  <c r="B63" i="9"/>
  <c r="D63" i="9" s="1"/>
  <c r="B64" i="9"/>
  <c r="D64" i="9" s="1"/>
  <c r="B65" i="9"/>
  <c r="D65" i="9" s="1"/>
  <c r="B66" i="9"/>
  <c r="D66" i="9" s="1"/>
  <c r="B67" i="9"/>
  <c r="D67" i="9" s="1"/>
  <c r="B68" i="9"/>
  <c r="D68" i="9" s="1"/>
  <c r="B69" i="9"/>
  <c r="D69" i="9" s="1"/>
  <c r="B70" i="9"/>
  <c r="D70" i="9" s="1"/>
  <c r="B71" i="9"/>
  <c r="D71" i="9" s="1"/>
  <c r="B72" i="9"/>
  <c r="D72" i="9" s="1"/>
  <c r="B73" i="9"/>
  <c r="D73" i="9" s="1"/>
  <c r="B74" i="9"/>
  <c r="D74" i="9" s="1"/>
  <c r="B75" i="9"/>
  <c r="D75" i="9" s="1"/>
  <c r="B76" i="9"/>
  <c r="D76" i="9" s="1"/>
  <c r="B77" i="9"/>
  <c r="D77" i="9" s="1"/>
  <c r="B78" i="9"/>
  <c r="D78" i="9" s="1"/>
  <c r="AC45" i="5" l="1"/>
  <c r="AC44" i="5"/>
  <c r="AC43" i="5"/>
  <c r="F41" i="15"/>
  <c r="A42" i="15"/>
  <c r="E41" i="15"/>
  <c r="AC41" i="5"/>
  <c r="AC40" i="5"/>
  <c r="AG117" i="14"/>
  <c r="K118" i="14"/>
  <c r="AE118" i="14"/>
  <c r="AC118" i="14"/>
  <c r="M118" i="14"/>
  <c r="X118" i="14"/>
  <c r="U118" i="14"/>
  <c r="S118" i="14"/>
  <c r="V118" i="14"/>
  <c r="I118" i="14"/>
  <c r="W118" i="14"/>
  <c r="T118" i="14"/>
  <c r="K89" i="14"/>
  <c r="AE89" i="14"/>
  <c r="AC89" i="14"/>
  <c r="AG88" i="14"/>
  <c r="AB43" i="5"/>
  <c r="AC42" i="5"/>
  <c r="AB44" i="5"/>
  <c r="AB41" i="5"/>
  <c r="L47" i="5"/>
  <c r="M47" i="5"/>
  <c r="N47" i="5"/>
  <c r="O47" i="5"/>
  <c r="W47" i="5"/>
  <c r="X47" i="5"/>
  <c r="U47" i="5"/>
  <c r="V47" i="5"/>
  <c r="S47" i="5"/>
  <c r="T47" i="5"/>
  <c r="H47" i="5"/>
  <c r="AB42" i="5"/>
  <c r="Y46" i="5"/>
  <c r="G47" i="5"/>
  <c r="Q46" i="5"/>
  <c r="AB45" i="5"/>
  <c r="P46" i="5"/>
  <c r="AB40" i="5"/>
  <c r="Q112" i="14"/>
  <c r="R112" i="14"/>
  <c r="Z46" i="5"/>
  <c r="M89" i="14"/>
  <c r="C46" i="15" s="1"/>
  <c r="T89" i="14"/>
  <c r="S89" i="14"/>
  <c r="U89" i="14"/>
  <c r="V89" i="14"/>
  <c r="W89" i="14"/>
  <c r="X89" i="14"/>
  <c r="Q85" i="14"/>
  <c r="Y85" i="14" s="1"/>
  <c r="R85" i="14"/>
  <c r="Z85" i="14" s="1"/>
  <c r="A90" i="14"/>
  <c r="A119" i="14"/>
  <c r="D48" i="5"/>
  <c r="G48" i="5" s="1"/>
  <c r="E48" i="5"/>
  <c r="A49" i="5"/>
  <c r="B49" i="5" s="1"/>
  <c r="C49" i="5" s="1"/>
  <c r="Q32" i="14"/>
  <c r="R26" i="14"/>
  <c r="Q47" i="13"/>
  <c r="R41" i="13"/>
  <c r="G37" i="9"/>
  <c r="F43" i="9"/>
  <c r="B60" i="9"/>
  <c r="B61" i="9"/>
  <c r="D61" i="9" s="1"/>
  <c r="A59" i="9"/>
  <c r="G59" i="9" l="1"/>
  <c r="K59" i="9"/>
  <c r="AC59" i="9"/>
  <c r="AA59" i="9"/>
  <c r="F42" i="15"/>
  <c r="A43" i="15"/>
  <c r="E42" i="15"/>
  <c r="AG89" i="14"/>
  <c r="AG118" i="14"/>
  <c r="K119" i="14"/>
  <c r="AC119" i="14"/>
  <c r="AE119" i="14"/>
  <c r="M119" i="14"/>
  <c r="T119" i="14"/>
  <c r="I119" i="14"/>
  <c r="W119" i="14"/>
  <c r="U119" i="14"/>
  <c r="S119" i="14"/>
  <c r="V119" i="14"/>
  <c r="X119" i="14"/>
  <c r="K90" i="14"/>
  <c r="AC90" i="14"/>
  <c r="AE90" i="14"/>
  <c r="AC46" i="5"/>
  <c r="Q47" i="5"/>
  <c r="J13" i="15"/>
  <c r="I48" i="5"/>
  <c r="H48" i="5"/>
  <c r="P47" i="5"/>
  <c r="Q113" i="14"/>
  <c r="Y113" i="14" s="1"/>
  <c r="R113" i="14"/>
  <c r="Z113" i="14" s="1"/>
  <c r="U48" i="5"/>
  <c r="V48" i="5"/>
  <c r="T48" i="5"/>
  <c r="S48" i="5"/>
  <c r="W48" i="5"/>
  <c r="X48" i="5"/>
  <c r="Z112" i="14"/>
  <c r="J38" i="15"/>
  <c r="J47" i="5"/>
  <c r="L48" i="5"/>
  <c r="M48" i="5"/>
  <c r="N48" i="5"/>
  <c r="O48" i="5"/>
  <c r="Y112" i="14"/>
  <c r="Z47" i="5"/>
  <c r="AB46" i="5"/>
  <c r="Y47" i="5"/>
  <c r="V23" i="6"/>
  <c r="Z23" i="6"/>
  <c r="W23" i="6"/>
  <c r="X23" i="6"/>
  <c r="AA23" i="6"/>
  <c r="Y23" i="6"/>
  <c r="J12" i="15"/>
  <c r="I47" i="5"/>
  <c r="Q86" i="14"/>
  <c r="Y86" i="14" s="1"/>
  <c r="R86" i="14"/>
  <c r="Z86" i="14" s="1"/>
  <c r="M90" i="14"/>
  <c r="C47" i="15" s="1"/>
  <c r="W90" i="14"/>
  <c r="X90" i="14"/>
  <c r="S90" i="14"/>
  <c r="V90" i="14"/>
  <c r="T90" i="14"/>
  <c r="U90" i="14"/>
  <c r="A91" i="14"/>
  <c r="A120" i="14"/>
  <c r="E49" i="5"/>
  <c r="D49" i="5"/>
  <c r="G49" i="5" s="1"/>
  <c r="Q23" i="6"/>
  <c r="R23" i="6"/>
  <c r="O23" i="6"/>
  <c r="P23" i="6"/>
  <c r="J23" i="6"/>
  <c r="G23" i="6"/>
  <c r="I31" i="15" s="1"/>
  <c r="K23" i="6"/>
  <c r="F23" i="6"/>
  <c r="I5" i="15" s="1"/>
  <c r="A60" i="9"/>
  <c r="A50" i="5"/>
  <c r="B50" i="5" s="1"/>
  <c r="C50" i="5" s="1"/>
  <c r="R32" i="14"/>
  <c r="S26" i="14"/>
  <c r="R47" i="13"/>
  <c r="S41" i="13"/>
  <c r="H37" i="9"/>
  <c r="G43" i="9"/>
  <c r="D59" i="9"/>
  <c r="B79" i="9"/>
  <c r="D60" i="9"/>
  <c r="AE59" i="9" l="1"/>
  <c r="V31" i="15" s="1"/>
  <c r="K60" i="9"/>
  <c r="G60" i="9"/>
  <c r="AA60" i="9"/>
  <c r="AC60" i="9"/>
  <c r="F43" i="15"/>
  <c r="A44" i="15"/>
  <c r="E43" i="15"/>
  <c r="AG119" i="14"/>
  <c r="AG90" i="14"/>
  <c r="K91" i="14"/>
  <c r="AE91" i="14"/>
  <c r="AC91" i="14"/>
  <c r="K120" i="14"/>
  <c r="K121" i="14" s="1"/>
  <c r="AE120" i="14"/>
  <c r="AE121" i="14" s="1"/>
  <c r="M120" i="14"/>
  <c r="M121" i="14" s="1"/>
  <c r="AC120" i="14"/>
  <c r="X120" i="14"/>
  <c r="X121" i="14" s="1"/>
  <c r="T120" i="14"/>
  <c r="T121" i="14" s="1"/>
  <c r="I120" i="14"/>
  <c r="I121" i="14" s="1"/>
  <c r="U120" i="14"/>
  <c r="U121" i="14" s="1"/>
  <c r="S120" i="14"/>
  <c r="S121" i="14" s="1"/>
  <c r="W120" i="14"/>
  <c r="W121" i="14" s="1"/>
  <c r="V120" i="14"/>
  <c r="V121" i="14" s="1"/>
  <c r="Q48" i="5"/>
  <c r="I49" i="5"/>
  <c r="J14" i="15"/>
  <c r="N31" i="15"/>
  <c r="AC23" i="6"/>
  <c r="H49" i="5"/>
  <c r="P48" i="5"/>
  <c r="T60" i="9"/>
  <c r="V60" i="9"/>
  <c r="O60" i="9"/>
  <c r="S60" i="9"/>
  <c r="U60" i="9"/>
  <c r="P60" i="9"/>
  <c r="Q60" i="9"/>
  <c r="R60" i="9"/>
  <c r="Q114" i="14"/>
  <c r="Y114" i="14" s="1"/>
  <c r="R114" i="14"/>
  <c r="Z114" i="14" s="1"/>
  <c r="M5" i="15"/>
  <c r="AB47" i="5"/>
  <c r="N5" i="15"/>
  <c r="AB23" i="6"/>
  <c r="U49" i="5"/>
  <c r="V49" i="5"/>
  <c r="S49" i="5"/>
  <c r="T49" i="5"/>
  <c r="W49" i="5"/>
  <c r="X49" i="5"/>
  <c r="M31" i="15"/>
  <c r="Q59" i="9"/>
  <c r="O59" i="9"/>
  <c r="P59" i="9"/>
  <c r="T59" i="9"/>
  <c r="U59" i="9"/>
  <c r="R59" i="9"/>
  <c r="V59" i="9"/>
  <c r="S59" i="9"/>
  <c r="AC47" i="5"/>
  <c r="Y48" i="5"/>
  <c r="L49" i="5"/>
  <c r="M49" i="5"/>
  <c r="N49" i="5"/>
  <c r="O49" i="5"/>
  <c r="Z48" i="5"/>
  <c r="J39" i="15"/>
  <c r="J48" i="5"/>
  <c r="Q87" i="14"/>
  <c r="Y87" i="14" s="1"/>
  <c r="R87" i="14"/>
  <c r="Z87" i="14" s="1"/>
  <c r="M91" i="14"/>
  <c r="C48" i="15" s="1"/>
  <c r="S91" i="14"/>
  <c r="T91" i="14"/>
  <c r="W91" i="14"/>
  <c r="X91" i="14"/>
  <c r="U91" i="14"/>
  <c r="V91" i="14"/>
  <c r="A92" i="14"/>
  <c r="E50" i="5"/>
  <c r="D50" i="5"/>
  <c r="H50" i="5" s="1"/>
  <c r="T23" i="6"/>
  <c r="S23" i="6"/>
  <c r="A61" i="9"/>
  <c r="A51" i="5"/>
  <c r="B51" i="5" s="1"/>
  <c r="C51" i="5" s="1"/>
  <c r="S32" i="14"/>
  <c r="T26" i="14"/>
  <c r="S47" i="13"/>
  <c r="T41" i="13"/>
  <c r="C48" i="6"/>
  <c r="I37" i="9"/>
  <c r="H43" i="9"/>
  <c r="D79" i="9"/>
  <c r="G61" i="9" l="1"/>
  <c r="K61" i="9"/>
  <c r="AA61" i="9"/>
  <c r="AC61" i="9"/>
  <c r="S61" i="9"/>
  <c r="Q61" i="9"/>
  <c r="U61" i="9"/>
  <c r="R61" i="9"/>
  <c r="T61" i="9"/>
  <c r="V61" i="9"/>
  <c r="O61" i="9"/>
  <c r="W61" i="9" s="1"/>
  <c r="AG61" i="9" s="1"/>
  <c r="AE60" i="9"/>
  <c r="P61" i="9"/>
  <c r="X61" i="9" s="1"/>
  <c r="F44" i="15"/>
  <c r="A45" i="15"/>
  <c r="E44" i="15"/>
  <c r="AG120" i="14"/>
  <c r="AC121" i="14"/>
  <c r="K92" i="14"/>
  <c r="AC92" i="14"/>
  <c r="AE92" i="14"/>
  <c r="AG91" i="14"/>
  <c r="Y49" i="5"/>
  <c r="P49" i="5"/>
  <c r="AB49" i="5" s="1"/>
  <c r="AC48" i="5"/>
  <c r="Z49" i="5"/>
  <c r="J41" i="15"/>
  <c r="J50" i="5"/>
  <c r="X59" i="9"/>
  <c r="X31" i="15" s="1"/>
  <c r="G50" i="5"/>
  <c r="R115" i="14"/>
  <c r="Z115" i="14" s="1"/>
  <c r="Q115" i="14"/>
  <c r="Y115" i="14" s="1"/>
  <c r="W59" i="9"/>
  <c r="Q49" i="5"/>
  <c r="AB48" i="5"/>
  <c r="X60" i="9"/>
  <c r="P62" i="9"/>
  <c r="O31" i="15"/>
  <c r="L50" i="5"/>
  <c r="M50" i="5"/>
  <c r="N50" i="5"/>
  <c r="O50" i="5"/>
  <c r="J49" i="5"/>
  <c r="J40" i="15"/>
  <c r="W50" i="5"/>
  <c r="X50" i="5"/>
  <c r="V50" i="5"/>
  <c r="U50" i="5"/>
  <c r="S50" i="5"/>
  <c r="T50" i="5"/>
  <c r="W60" i="9"/>
  <c r="AG60" i="9" s="1"/>
  <c r="M92" i="14"/>
  <c r="C49" i="15" s="1"/>
  <c r="U92" i="14"/>
  <c r="X92" i="14"/>
  <c r="V92" i="14"/>
  <c r="W92" i="14"/>
  <c r="T92" i="14"/>
  <c r="S92" i="14"/>
  <c r="Q88" i="14"/>
  <c r="Y88" i="14" s="1"/>
  <c r="R88" i="14"/>
  <c r="Z88" i="14" s="1"/>
  <c r="A93" i="14"/>
  <c r="AG121" i="14"/>
  <c r="E51" i="5"/>
  <c r="D51" i="5"/>
  <c r="G51" i="5" s="1"/>
  <c r="H48" i="6"/>
  <c r="I48" i="6"/>
  <c r="A62" i="9"/>
  <c r="A52" i="5"/>
  <c r="B52" i="5" s="1"/>
  <c r="C52" i="5" s="1"/>
  <c r="T32" i="14"/>
  <c r="U26" i="14"/>
  <c r="T47" i="13"/>
  <c r="U41" i="13"/>
  <c r="J37" i="9"/>
  <c r="I43" i="9"/>
  <c r="AE61" i="9" l="1"/>
  <c r="K62" i="9"/>
  <c r="G62" i="9"/>
  <c r="AA62" i="9"/>
  <c r="AE62" i="9" s="1"/>
  <c r="AC62" i="9"/>
  <c r="R62" i="9"/>
  <c r="Q62" i="9"/>
  <c r="S62" i="9"/>
  <c r="U62" i="9"/>
  <c r="T62" i="9"/>
  <c r="V62" i="9"/>
  <c r="O62" i="9"/>
  <c r="W62" i="9" s="1"/>
  <c r="AG62" i="9" s="1"/>
  <c r="A46" i="15"/>
  <c r="F45" i="15"/>
  <c r="E45" i="15"/>
  <c r="AG92" i="14"/>
  <c r="K93" i="14"/>
  <c r="AC93" i="14"/>
  <c r="AE93" i="14"/>
  <c r="AE94" i="14" s="1"/>
  <c r="Q50" i="5"/>
  <c r="AC49" i="5"/>
  <c r="J16" i="15"/>
  <c r="I51" i="5"/>
  <c r="J15" i="15"/>
  <c r="I50" i="5"/>
  <c r="AG59" i="9"/>
  <c r="X5" i="15"/>
  <c r="U51" i="5"/>
  <c r="V51" i="5"/>
  <c r="S51" i="5"/>
  <c r="T51" i="5"/>
  <c r="W51" i="5"/>
  <c r="X51" i="5"/>
  <c r="H51" i="5"/>
  <c r="P50" i="5"/>
  <c r="Y50" i="5"/>
  <c r="R116" i="14"/>
  <c r="Z116" i="14" s="1"/>
  <c r="Q116" i="14"/>
  <c r="Y116" i="14" s="1"/>
  <c r="O63" i="9"/>
  <c r="P63" i="9"/>
  <c r="L51" i="5"/>
  <c r="M51" i="5"/>
  <c r="N51" i="5"/>
  <c r="O51" i="5"/>
  <c r="O5" i="15"/>
  <c r="Z50" i="5"/>
  <c r="R89" i="14"/>
  <c r="Z89" i="14" s="1"/>
  <c r="Q89" i="14"/>
  <c r="Y89" i="14" s="1"/>
  <c r="M93" i="14"/>
  <c r="W93" i="14"/>
  <c r="W94" i="14" s="1"/>
  <c r="X93" i="14"/>
  <c r="X94" i="14" s="1"/>
  <c r="V93" i="14"/>
  <c r="V94" i="14" s="1"/>
  <c r="S93" i="14"/>
  <c r="S94" i="14" s="1"/>
  <c r="T93" i="14"/>
  <c r="T94" i="14" s="1"/>
  <c r="U93" i="14"/>
  <c r="U94" i="14" s="1"/>
  <c r="E52" i="5"/>
  <c r="D52" i="5"/>
  <c r="G52" i="5" s="1"/>
  <c r="M48" i="6"/>
  <c r="AF48" i="6" s="1"/>
  <c r="L48" i="6"/>
  <c r="AE48" i="6" s="1"/>
  <c r="A63" i="9"/>
  <c r="A53" i="5"/>
  <c r="B53" i="5" s="1"/>
  <c r="C53" i="5" s="1"/>
  <c r="U32" i="14"/>
  <c r="V26" i="14"/>
  <c r="V41" i="13"/>
  <c r="U47" i="13"/>
  <c r="K37" i="9"/>
  <c r="J43" i="9"/>
  <c r="G63" i="9" l="1"/>
  <c r="K63" i="9"/>
  <c r="AC63" i="9"/>
  <c r="AA63" i="9"/>
  <c r="AE63" i="9" s="1"/>
  <c r="U63" i="9"/>
  <c r="T63" i="9"/>
  <c r="Q63" i="9"/>
  <c r="W63" i="9" s="1"/>
  <c r="AG63" i="9" s="1"/>
  <c r="R63" i="9"/>
  <c r="S63" i="9"/>
  <c r="V63" i="9"/>
  <c r="X62" i="9"/>
  <c r="AC50" i="5"/>
  <c r="F46" i="15"/>
  <c r="A47" i="15"/>
  <c r="E46" i="15"/>
  <c r="Q51" i="5"/>
  <c r="AG93" i="14"/>
  <c r="AG94" i="14" s="1"/>
  <c r="AC94" i="14"/>
  <c r="H52" i="5"/>
  <c r="J52" i="5" s="1"/>
  <c r="I52" i="5"/>
  <c r="J17" i="15"/>
  <c r="P51" i="5"/>
  <c r="J42" i="15"/>
  <c r="J51" i="5"/>
  <c r="M94" i="14"/>
  <c r="C50" i="15"/>
  <c r="AB50" i="5"/>
  <c r="P64" i="9"/>
  <c r="O64" i="9"/>
  <c r="Z51" i="5"/>
  <c r="U52" i="5"/>
  <c r="V52" i="5"/>
  <c r="S52" i="5"/>
  <c r="T52" i="5"/>
  <c r="W52" i="5"/>
  <c r="X52" i="5"/>
  <c r="Q117" i="14"/>
  <c r="Y117" i="14" s="1"/>
  <c r="R117" i="14"/>
  <c r="Z117" i="14" s="1"/>
  <c r="L52" i="5"/>
  <c r="M52" i="5"/>
  <c r="N52" i="5"/>
  <c r="O52" i="5"/>
  <c r="Y51" i="5"/>
  <c r="K94" i="14"/>
  <c r="Q90" i="14"/>
  <c r="Y90" i="14" s="1"/>
  <c r="R90" i="14"/>
  <c r="Z90" i="14" s="1"/>
  <c r="D53" i="5"/>
  <c r="G53" i="5" s="1"/>
  <c r="E53" i="5"/>
  <c r="A64" i="9"/>
  <c r="A54" i="5"/>
  <c r="B54" i="5" s="1"/>
  <c r="C54" i="5" s="1"/>
  <c r="W26" i="14"/>
  <c r="V32" i="14"/>
  <c r="W41" i="13"/>
  <c r="V47" i="13"/>
  <c r="K43" i="9"/>
  <c r="L37" i="9"/>
  <c r="X63" i="9" l="1"/>
  <c r="G64" i="9"/>
  <c r="K64" i="9"/>
  <c r="AA64" i="9"/>
  <c r="AE64" i="9" s="1"/>
  <c r="AC64" i="9"/>
  <c r="S64" i="9"/>
  <c r="Q64" i="9"/>
  <c r="W64" i="9" s="1"/>
  <c r="AG64" i="9" s="1"/>
  <c r="T64" i="9"/>
  <c r="U64" i="9"/>
  <c r="R64" i="9"/>
  <c r="V64" i="9"/>
  <c r="J43" i="15"/>
  <c r="F47" i="15"/>
  <c r="A48" i="15"/>
  <c r="E47" i="15"/>
  <c r="AC51" i="5"/>
  <c r="H53" i="5"/>
  <c r="J44" i="15" s="1"/>
  <c r="P52" i="5"/>
  <c r="C51" i="15"/>
  <c r="AB51" i="5"/>
  <c r="W53" i="5"/>
  <c r="X53" i="5"/>
  <c r="U53" i="5"/>
  <c r="V53" i="5"/>
  <c r="S53" i="5"/>
  <c r="T53" i="5"/>
  <c r="Z52" i="5"/>
  <c r="J18" i="15"/>
  <c r="I53" i="5"/>
  <c r="P65" i="9"/>
  <c r="O65" i="9"/>
  <c r="L53" i="5"/>
  <c r="M53" i="5"/>
  <c r="N53" i="5"/>
  <c r="O53" i="5"/>
  <c r="Y52" i="5"/>
  <c r="R118" i="14"/>
  <c r="Z118" i="14" s="1"/>
  <c r="Q118" i="14"/>
  <c r="Y118" i="14" s="1"/>
  <c r="Q52" i="5"/>
  <c r="Q91" i="14"/>
  <c r="Y91" i="14" s="1"/>
  <c r="R91" i="14"/>
  <c r="Z91" i="14" s="1"/>
  <c r="D54" i="5"/>
  <c r="G54" i="5" s="1"/>
  <c r="E54" i="5"/>
  <c r="A65" i="9"/>
  <c r="A55" i="5"/>
  <c r="B55" i="5" s="1"/>
  <c r="C55" i="5" s="1"/>
  <c r="X26" i="14"/>
  <c r="W32" i="14"/>
  <c r="X41" i="13"/>
  <c r="W47" i="13"/>
  <c r="L43" i="9"/>
  <c r="M37" i="9"/>
  <c r="X64" i="9" l="1"/>
  <c r="X65" i="9"/>
  <c r="G65" i="9"/>
  <c r="K65" i="9"/>
  <c r="AA65" i="9"/>
  <c r="AE65" i="9" s="1"/>
  <c r="AC65" i="9"/>
  <c r="V65" i="9"/>
  <c r="S65" i="9"/>
  <c r="T65" i="9"/>
  <c r="U65" i="9"/>
  <c r="R65" i="9"/>
  <c r="Q65" i="9"/>
  <c r="W65" i="9" s="1"/>
  <c r="AG65" i="9" s="1"/>
  <c r="J53" i="5"/>
  <c r="F48" i="15"/>
  <c r="A49" i="15"/>
  <c r="E48" i="15"/>
  <c r="AB52" i="5"/>
  <c r="AC52" i="5"/>
  <c r="P53" i="5"/>
  <c r="Z53" i="5"/>
  <c r="L54" i="5"/>
  <c r="M54" i="5"/>
  <c r="N54" i="5"/>
  <c r="O54" i="5"/>
  <c r="Y53" i="5"/>
  <c r="U54" i="5"/>
  <c r="V54" i="5"/>
  <c r="S54" i="5"/>
  <c r="W54" i="5"/>
  <c r="X54" i="5"/>
  <c r="T54" i="5"/>
  <c r="Q119" i="14"/>
  <c r="Y119" i="14" s="1"/>
  <c r="R119" i="14"/>
  <c r="Z119" i="14" s="1"/>
  <c r="J19" i="15"/>
  <c r="I54" i="5"/>
  <c r="P66" i="9"/>
  <c r="O66" i="9"/>
  <c r="H54" i="5"/>
  <c r="Q53" i="5"/>
  <c r="Q92" i="14"/>
  <c r="Y92" i="14" s="1"/>
  <c r="R92" i="14"/>
  <c r="Z92" i="14" s="1"/>
  <c r="E55" i="5"/>
  <c r="D55" i="5"/>
  <c r="A66" i="9"/>
  <c r="A56" i="5"/>
  <c r="B56" i="5" s="1"/>
  <c r="C56" i="5" s="1"/>
  <c r="X32" i="14"/>
  <c r="Y26" i="14"/>
  <c r="Y32" i="14" s="1"/>
  <c r="X47" i="13"/>
  <c r="Y41" i="13"/>
  <c r="Y47" i="13" s="1"/>
  <c r="N37" i="9"/>
  <c r="M43" i="9"/>
  <c r="G66" i="9" l="1"/>
  <c r="K66" i="9"/>
  <c r="AA66" i="9"/>
  <c r="AC66" i="9"/>
  <c r="Q66" i="9"/>
  <c r="W66" i="9" s="1"/>
  <c r="S66" i="9"/>
  <c r="T66" i="9"/>
  <c r="X66" i="9" s="1"/>
  <c r="R66" i="9"/>
  <c r="U66" i="9"/>
  <c r="V66" i="9"/>
  <c r="AC53" i="5"/>
  <c r="F49" i="15"/>
  <c r="A50" i="15"/>
  <c r="E49" i="15"/>
  <c r="AB53" i="5"/>
  <c r="Q54" i="5"/>
  <c r="U55" i="5"/>
  <c r="V55" i="5"/>
  <c r="S55" i="5"/>
  <c r="T55" i="5"/>
  <c r="W55" i="5"/>
  <c r="X55" i="5"/>
  <c r="Y54" i="5"/>
  <c r="P54" i="5"/>
  <c r="L55" i="5"/>
  <c r="M55" i="5"/>
  <c r="N55" i="5"/>
  <c r="O55" i="5"/>
  <c r="H55" i="5"/>
  <c r="G55" i="5"/>
  <c r="O67" i="9"/>
  <c r="Q120" i="14"/>
  <c r="R120" i="14"/>
  <c r="J45" i="15"/>
  <c r="J54" i="5"/>
  <c r="Z54" i="5"/>
  <c r="R93" i="14"/>
  <c r="Q93" i="14"/>
  <c r="D56" i="5"/>
  <c r="G56" i="5" s="1"/>
  <c r="E56" i="5"/>
  <c r="A67" i="9"/>
  <c r="A57" i="5"/>
  <c r="B57" i="5" s="1"/>
  <c r="C57" i="5" s="1"/>
  <c r="O37" i="9"/>
  <c r="N43" i="9"/>
  <c r="AE66" i="9" l="1"/>
  <c r="K67" i="9"/>
  <c r="G67" i="9"/>
  <c r="AA67" i="9"/>
  <c r="AC67" i="9"/>
  <c r="U67" i="9"/>
  <c r="Q67" i="9"/>
  <c r="W67" i="9" s="1"/>
  <c r="AG67" i="9" s="1"/>
  <c r="R67" i="9"/>
  <c r="T67" i="9"/>
  <c r="S67" i="9"/>
  <c r="V67" i="9"/>
  <c r="P67" i="9"/>
  <c r="AB50" i="15"/>
  <c r="AB51" i="15" s="1"/>
  <c r="F50" i="15"/>
  <c r="F51" i="15" s="1"/>
  <c r="E50" i="15"/>
  <c r="E51" i="15" s="1"/>
  <c r="AB54" i="5"/>
  <c r="AC54" i="5"/>
  <c r="J21" i="15"/>
  <c r="I56" i="5"/>
  <c r="Z120" i="14"/>
  <c r="Z121" i="14" s="1"/>
  <c r="R121" i="14"/>
  <c r="J55" i="5"/>
  <c r="J46" i="15"/>
  <c r="Z55" i="5"/>
  <c r="Y55" i="5"/>
  <c r="Y120" i="14"/>
  <c r="Y121" i="14" s="1"/>
  <c r="Q121" i="14"/>
  <c r="Q55" i="5"/>
  <c r="H56" i="5"/>
  <c r="AG66" i="9"/>
  <c r="P55" i="5"/>
  <c r="I55" i="5"/>
  <c r="J20" i="15"/>
  <c r="X56" i="5"/>
  <c r="T56" i="5"/>
  <c r="S56" i="5"/>
  <c r="V56" i="5"/>
  <c r="U56" i="5"/>
  <c r="W56" i="5"/>
  <c r="L56" i="5"/>
  <c r="M56" i="5"/>
  <c r="N56" i="5"/>
  <c r="O56" i="5"/>
  <c r="Y93" i="14"/>
  <c r="Y94" i="14" s="1"/>
  <c r="Q94" i="14"/>
  <c r="Z93" i="14"/>
  <c r="Z94" i="14" s="1"/>
  <c r="R94" i="14"/>
  <c r="E57" i="5"/>
  <c r="D57" i="5"/>
  <c r="G57" i="5" s="1"/>
  <c r="A68" i="9"/>
  <c r="A58" i="5"/>
  <c r="B58" i="5" s="1"/>
  <c r="C58" i="5" s="1"/>
  <c r="P37" i="9"/>
  <c r="O43" i="9"/>
  <c r="AE67" i="9" l="1"/>
  <c r="K68" i="9"/>
  <c r="G68" i="9"/>
  <c r="AA68" i="9"/>
  <c r="AC68" i="9"/>
  <c r="R68" i="9"/>
  <c r="X68" i="9" s="1"/>
  <c r="Q68" i="9"/>
  <c r="T68" i="9"/>
  <c r="U68" i="9"/>
  <c r="S68" i="9"/>
  <c r="V68" i="9"/>
  <c r="P68" i="9"/>
  <c r="X67" i="9"/>
  <c r="O68" i="9"/>
  <c r="W68" i="9" s="1"/>
  <c r="AG68" i="9" s="1"/>
  <c r="Z56" i="5"/>
  <c r="AB55" i="5"/>
  <c r="Y56" i="5"/>
  <c r="P56" i="5"/>
  <c r="J22" i="15"/>
  <c r="I57" i="5"/>
  <c r="J47" i="15"/>
  <c r="J56" i="5"/>
  <c r="M57" i="5"/>
  <c r="N57" i="5"/>
  <c r="O57" i="5"/>
  <c r="L57" i="5"/>
  <c r="V57" i="5"/>
  <c r="W57" i="5"/>
  <c r="X57" i="5"/>
  <c r="T57" i="5"/>
  <c r="S57" i="5"/>
  <c r="U57" i="5"/>
  <c r="Q56" i="5"/>
  <c r="H57" i="5"/>
  <c r="AC55" i="5"/>
  <c r="O69" i="9"/>
  <c r="P69" i="9"/>
  <c r="E58" i="5"/>
  <c r="D58" i="5"/>
  <c r="H58" i="5" s="1"/>
  <c r="A69" i="9"/>
  <c r="A59" i="5"/>
  <c r="B59" i="5" s="1"/>
  <c r="C59" i="5" s="1"/>
  <c r="Q37" i="9"/>
  <c r="P43" i="9"/>
  <c r="AE68" i="9" l="1"/>
  <c r="G69" i="9"/>
  <c r="K69" i="9"/>
  <c r="AA69" i="9"/>
  <c r="AE69" i="9" s="1"/>
  <c r="AC69" i="9"/>
  <c r="U69" i="9"/>
  <c r="R69" i="9"/>
  <c r="X69" i="9" s="1"/>
  <c r="T69" i="9"/>
  <c r="Q69" i="9"/>
  <c r="W69" i="9" s="1"/>
  <c r="AG69" i="9" s="1"/>
  <c r="S69" i="9"/>
  <c r="V69" i="9"/>
  <c r="AB56" i="5"/>
  <c r="Q57" i="5"/>
  <c r="Y57" i="5"/>
  <c r="Z57" i="5"/>
  <c r="AC56" i="5"/>
  <c r="J58" i="5"/>
  <c r="J49" i="15"/>
  <c r="G58" i="5"/>
  <c r="V58" i="5"/>
  <c r="W58" i="5"/>
  <c r="X58" i="5"/>
  <c r="T58" i="5"/>
  <c r="U58" i="5"/>
  <c r="S58" i="5"/>
  <c r="J48" i="15"/>
  <c r="J57" i="5"/>
  <c r="AC57" i="5" s="1"/>
  <c r="P57" i="5"/>
  <c r="M58" i="5"/>
  <c r="N58" i="5"/>
  <c r="O58" i="5"/>
  <c r="L58" i="5"/>
  <c r="P70" i="9"/>
  <c r="O70" i="9"/>
  <c r="E59" i="5"/>
  <c r="C60" i="5"/>
  <c r="D59" i="5"/>
  <c r="H59" i="5" s="1"/>
  <c r="B60" i="5"/>
  <c r="A70" i="9"/>
  <c r="R37" i="9"/>
  <c r="Q43" i="9"/>
  <c r="K70" i="9" l="1"/>
  <c r="G70" i="9"/>
  <c r="AA70" i="9"/>
  <c r="AC70" i="9"/>
  <c r="T70" i="9"/>
  <c r="R70" i="9"/>
  <c r="X70" i="9" s="1"/>
  <c r="U70" i="9"/>
  <c r="Q70" i="9"/>
  <c r="W70" i="9" s="1"/>
  <c r="AG70" i="9" s="1"/>
  <c r="V70" i="9"/>
  <c r="S70" i="9"/>
  <c r="AB57" i="5"/>
  <c r="Q58" i="5"/>
  <c r="J50" i="15"/>
  <c r="J51" i="15" s="1"/>
  <c r="J59" i="5"/>
  <c r="H60" i="5"/>
  <c r="X59" i="5"/>
  <c r="X60" i="5" s="1"/>
  <c r="T59" i="5"/>
  <c r="S59" i="5"/>
  <c r="V59" i="5"/>
  <c r="V60" i="5" s="1"/>
  <c r="U59" i="5"/>
  <c r="U60" i="5" s="1"/>
  <c r="W59" i="5"/>
  <c r="W60" i="5" s="1"/>
  <c r="I58" i="5"/>
  <c r="J23" i="15"/>
  <c r="Y58" i="5"/>
  <c r="G59" i="5"/>
  <c r="P58" i="5"/>
  <c r="M59" i="5"/>
  <c r="N59" i="5"/>
  <c r="N60" i="5" s="1"/>
  <c r="O59" i="5"/>
  <c r="O60" i="5" s="1"/>
  <c r="L59" i="5"/>
  <c r="Z58" i="5"/>
  <c r="AC58" i="5" s="1"/>
  <c r="D60" i="5"/>
  <c r="E60" i="5"/>
  <c r="A71" i="9"/>
  <c r="O71" i="9" s="1"/>
  <c r="S37" i="9"/>
  <c r="R43" i="9"/>
  <c r="P71" i="9" l="1"/>
  <c r="AE70" i="9"/>
  <c r="G71" i="9"/>
  <c r="K71" i="9"/>
  <c r="AC71" i="9"/>
  <c r="AA71" i="9"/>
  <c r="AE71" i="9" s="1"/>
  <c r="V71" i="9"/>
  <c r="Q71" i="9"/>
  <c r="W71" i="9" s="1"/>
  <c r="AG71" i="9" s="1"/>
  <c r="S71" i="9"/>
  <c r="R71" i="9"/>
  <c r="T71" i="9"/>
  <c r="U71" i="9"/>
  <c r="Z59" i="5"/>
  <c r="T60" i="5"/>
  <c r="Y59" i="5"/>
  <c r="Y60" i="5" s="1"/>
  <c r="S60" i="5"/>
  <c r="J24" i="15"/>
  <c r="J25" i="15" s="1"/>
  <c r="I59" i="5"/>
  <c r="G60" i="5"/>
  <c r="P59" i="5"/>
  <c r="P60" i="5" s="1"/>
  <c r="L60" i="5"/>
  <c r="P72" i="9"/>
  <c r="O72" i="9"/>
  <c r="AB58" i="5"/>
  <c r="Q59" i="5"/>
  <c r="Q60" i="5" s="1"/>
  <c r="M60" i="5"/>
  <c r="Z60" i="5"/>
  <c r="A72" i="9"/>
  <c r="J60" i="5"/>
  <c r="T37" i="9"/>
  <c r="S43" i="9"/>
  <c r="X71" i="9" l="1"/>
  <c r="G72" i="9"/>
  <c r="K72" i="9"/>
  <c r="AA72" i="9"/>
  <c r="AE72" i="9" s="1"/>
  <c r="AC72" i="9"/>
  <c r="R72" i="9"/>
  <c r="X72" i="9" s="1"/>
  <c r="U72" i="9"/>
  <c r="S72" i="9"/>
  <c r="V72" i="9"/>
  <c r="Q72" i="9"/>
  <c r="W72" i="9" s="1"/>
  <c r="AG72" i="9" s="1"/>
  <c r="T72" i="9"/>
  <c r="AB59" i="5"/>
  <c r="AB60" i="5" s="1"/>
  <c r="I60" i="5"/>
  <c r="P73" i="9"/>
  <c r="AC59" i="5"/>
  <c r="AC60" i="5" s="1"/>
  <c r="A73" i="9"/>
  <c r="U37" i="9"/>
  <c r="T43" i="9"/>
  <c r="G73" i="9" l="1"/>
  <c r="K73" i="9"/>
  <c r="AA73" i="9"/>
  <c r="AC73" i="9"/>
  <c r="S73" i="9"/>
  <c r="T73" i="9"/>
  <c r="V73" i="9"/>
  <c r="U73" i="9"/>
  <c r="Q73" i="9"/>
  <c r="R73" i="9"/>
  <c r="X73" i="9" s="1"/>
  <c r="O73" i="9"/>
  <c r="A74" i="9"/>
  <c r="O74" i="9" s="1"/>
  <c r="V37" i="9"/>
  <c r="U43" i="9"/>
  <c r="AE73" i="9" l="1"/>
  <c r="G74" i="9"/>
  <c r="K74" i="9"/>
  <c r="AC74" i="9"/>
  <c r="AA74" i="9"/>
  <c r="AE74" i="9" s="1"/>
  <c r="S74" i="9"/>
  <c r="T74" i="9"/>
  <c r="U74" i="9"/>
  <c r="V74" i="9"/>
  <c r="R74" i="9"/>
  <c r="Q74" i="9"/>
  <c r="W74" i="9" s="1"/>
  <c r="AG74" i="9" s="1"/>
  <c r="W73" i="9"/>
  <c r="AG73" i="9" s="1"/>
  <c r="P74" i="9"/>
  <c r="O75" i="9"/>
  <c r="P75" i="9"/>
  <c r="A75" i="9"/>
  <c r="W37" i="9"/>
  <c r="V43" i="9"/>
  <c r="X74" i="9" l="1"/>
  <c r="K75" i="9"/>
  <c r="G75" i="9"/>
  <c r="AA75" i="9"/>
  <c r="AC75" i="9"/>
  <c r="U75" i="9"/>
  <c r="Q75" i="9"/>
  <c r="W75" i="9" s="1"/>
  <c r="AG75" i="9" s="1"/>
  <c r="V75" i="9"/>
  <c r="T75" i="9"/>
  <c r="R75" i="9"/>
  <c r="X75" i="9" s="1"/>
  <c r="S75" i="9"/>
  <c r="A76" i="9"/>
  <c r="W43" i="9"/>
  <c r="X37" i="9"/>
  <c r="K76" i="9" l="1"/>
  <c r="G76" i="9"/>
  <c r="AA76" i="9"/>
  <c r="AC76" i="9"/>
  <c r="Q76" i="9"/>
  <c r="R76" i="9"/>
  <c r="V76" i="9"/>
  <c r="S76" i="9"/>
  <c r="U76" i="9"/>
  <c r="T76" i="9"/>
  <c r="O76" i="9"/>
  <c r="W76" i="9" s="1"/>
  <c r="AG76" i="9" s="1"/>
  <c r="P76" i="9"/>
  <c r="AE75" i="9"/>
  <c r="A77" i="9"/>
  <c r="P77" i="9" s="1"/>
  <c r="X43" i="9"/>
  <c r="Y37" i="9"/>
  <c r="Y43" i="9" s="1"/>
  <c r="O77" i="9" l="1"/>
  <c r="X76" i="9"/>
  <c r="AE76" i="9"/>
  <c r="G77" i="9"/>
  <c r="K77" i="9"/>
  <c r="AC77" i="9"/>
  <c r="AA77" i="9"/>
  <c r="AE77" i="9" s="1"/>
  <c r="Q77" i="9"/>
  <c r="U77" i="9"/>
  <c r="R77" i="9"/>
  <c r="X77" i="9" s="1"/>
  <c r="T77" i="9"/>
  <c r="V77" i="9"/>
  <c r="S77" i="9"/>
  <c r="A78" i="9"/>
  <c r="K78" i="9" l="1"/>
  <c r="K79" i="9" s="1"/>
  <c r="G78" i="9"/>
  <c r="AC78" i="9"/>
  <c r="AC79" i="9" s="1"/>
  <c r="AA78" i="9"/>
  <c r="U78" i="9"/>
  <c r="U79" i="9" s="1"/>
  <c r="T78" i="9"/>
  <c r="T79" i="9" s="1"/>
  <c r="V78" i="9"/>
  <c r="V79" i="9" s="1"/>
  <c r="R78" i="9"/>
  <c r="R79" i="9" s="1"/>
  <c r="Q78" i="9"/>
  <c r="Q79" i="9" s="1"/>
  <c r="S78" i="9"/>
  <c r="S79" i="9" s="1"/>
  <c r="O78" i="9"/>
  <c r="W78" i="9" s="1"/>
  <c r="P78" i="9"/>
  <c r="W77" i="9"/>
  <c r="AG77" i="9" s="1"/>
  <c r="P79" i="9"/>
  <c r="A9" i="7"/>
  <c r="D9" i="7" s="1"/>
  <c r="X78" i="9" l="1"/>
  <c r="O79" i="9"/>
  <c r="AE78" i="9"/>
  <c r="AA79" i="9"/>
  <c r="AG78" i="9"/>
  <c r="AG79" i="9" s="1"/>
  <c r="W79" i="9"/>
  <c r="A10" i="7"/>
  <c r="B7" i="4"/>
  <c r="G105" i="14" l="1"/>
  <c r="O105" i="14" s="1"/>
  <c r="AJ105" i="14" s="1"/>
  <c r="G118" i="14"/>
  <c r="O118" i="14" s="1"/>
  <c r="AJ118" i="14" s="1"/>
  <c r="F107" i="14"/>
  <c r="N107" i="14" s="1"/>
  <c r="AI107" i="14" s="1"/>
  <c r="F102" i="14"/>
  <c r="N102" i="14" s="1"/>
  <c r="AI102" i="14" s="1"/>
  <c r="F119" i="14"/>
  <c r="N119" i="14" s="1"/>
  <c r="AI119" i="14" s="1"/>
  <c r="F86" i="14"/>
  <c r="F91" i="14"/>
  <c r="F76" i="14"/>
  <c r="F93" i="14"/>
  <c r="G74" i="14"/>
  <c r="G120" i="14"/>
  <c r="O120" i="14" s="1"/>
  <c r="AJ120" i="14" s="1"/>
  <c r="F74" i="14"/>
  <c r="G110" i="14"/>
  <c r="O110" i="14" s="1"/>
  <c r="AJ110" i="14" s="1"/>
  <c r="F108" i="14"/>
  <c r="N108" i="14" s="1"/>
  <c r="AI108" i="14" s="1"/>
  <c r="G112" i="14"/>
  <c r="O112" i="14" s="1"/>
  <c r="AJ112" i="14" s="1"/>
  <c r="G107" i="14"/>
  <c r="O107" i="14" s="1"/>
  <c r="AJ107" i="14" s="1"/>
  <c r="F105" i="14"/>
  <c r="N105" i="14" s="1"/>
  <c r="AI105" i="14" s="1"/>
  <c r="G76" i="14"/>
  <c r="G103" i="14"/>
  <c r="O103" i="14" s="1"/>
  <c r="AJ103" i="14" s="1"/>
  <c r="G80" i="14"/>
  <c r="F117" i="14"/>
  <c r="N117" i="14" s="1"/>
  <c r="AI117" i="14" s="1"/>
  <c r="F88" i="14"/>
  <c r="G114" i="14"/>
  <c r="O114" i="14" s="1"/>
  <c r="AJ114" i="14" s="1"/>
  <c r="F112" i="14"/>
  <c r="N112" i="14" s="1"/>
  <c r="AI112" i="14" s="1"/>
  <c r="F114" i="14"/>
  <c r="N114" i="14" s="1"/>
  <c r="AI114" i="14" s="1"/>
  <c r="F115" i="14"/>
  <c r="N115" i="14" s="1"/>
  <c r="AI115" i="14" s="1"/>
  <c r="F106" i="14"/>
  <c r="N106" i="14" s="1"/>
  <c r="AI106" i="14" s="1"/>
  <c r="F77" i="14"/>
  <c r="F82" i="14"/>
  <c r="G78" i="14"/>
  <c r="F79" i="14"/>
  <c r="F118" i="14"/>
  <c r="N118" i="14" s="1"/>
  <c r="AI118" i="14" s="1"/>
  <c r="G104" i="14"/>
  <c r="O104" i="14" s="1"/>
  <c r="AJ104" i="14" s="1"/>
  <c r="G115" i="14"/>
  <c r="O115" i="14" s="1"/>
  <c r="AJ115" i="14" s="1"/>
  <c r="G116" i="14"/>
  <c r="O116" i="14" s="1"/>
  <c r="AJ116" i="14" s="1"/>
  <c r="F80" i="14"/>
  <c r="D11" i="15" s="1"/>
  <c r="G11" i="15" s="1"/>
  <c r="F81" i="14"/>
  <c r="G108" i="14"/>
  <c r="O108" i="14" s="1"/>
  <c r="AJ108" i="14" s="1"/>
  <c r="F75" i="14"/>
  <c r="F109" i="14"/>
  <c r="N109" i="14" s="1"/>
  <c r="AI109" i="14" s="1"/>
  <c r="G101" i="14"/>
  <c r="G79" i="14"/>
  <c r="F101" i="14"/>
  <c r="F111" i="14"/>
  <c r="N111" i="14" s="1"/>
  <c r="AI111" i="14" s="1"/>
  <c r="F103" i="14"/>
  <c r="N103" i="14" s="1"/>
  <c r="AI103" i="14" s="1"/>
  <c r="F110" i="14"/>
  <c r="N110" i="14" s="1"/>
  <c r="AI110" i="14" s="1"/>
  <c r="F85" i="14"/>
  <c r="F89" i="14"/>
  <c r="F104" i="14"/>
  <c r="N104" i="14" s="1"/>
  <c r="AI104" i="14" s="1"/>
  <c r="G109" i="14"/>
  <c r="O109" i="14" s="1"/>
  <c r="AJ109" i="14" s="1"/>
  <c r="G119" i="14"/>
  <c r="O119" i="14" s="1"/>
  <c r="AJ119" i="14" s="1"/>
  <c r="G111" i="14"/>
  <c r="O111" i="14" s="1"/>
  <c r="AJ111" i="14" s="1"/>
  <c r="F90" i="14"/>
  <c r="D21" i="15" s="1"/>
  <c r="G21" i="15" s="1"/>
  <c r="F84" i="14"/>
  <c r="G75" i="14"/>
  <c r="G117" i="14"/>
  <c r="O117" i="14" s="1"/>
  <c r="AJ117" i="14" s="1"/>
  <c r="G106" i="14"/>
  <c r="O106" i="14" s="1"/>
  <c r="AJ106" i="14" s="1"/>
  <c r="F78" i="14"/>
  <c r="D9" i="15" s="1"/>
  <c r="G9" i="15" s="1"/>
  <c r="F87" i="14"/>
  <c r="F116" i="14"/>
  <c r="N116" i="14" s="1"/>
  <c r="AI116" i="14" s="1"/>
  <c r="F83" i="14"/>
  <c r="F92" i="14"/>
  <c r="D23" i="15" s="1"/>
  <c r="G23" i="15" s="1"/>
  <c r="G113" i="14"/>
  <c r="O113" i="14" s="1"/>
  <c r="AJ113" i="14" s="1"/>
  <c r="G77" i="14"/>
  <c r="F113" i="14"/>
  <c r="N113" i="14" s="1"/>
  <c r="AI113" i="14" s="1"/>
  <c r="F120" i="14"/>
  <c r="N120" i="14" s="1"/>
  <c r="AI120" i="14" s="1"/>
  <c r="G102" i="14"/>
  <c r="O102" i="14" s="1"/>
  <c r="AJ102" i="14" s="1"/>
  <c r="G81" i="14"/>
  <c r="G82" i="14"/>
  <c r="G83" i="14"/>
  <c r="D40" i="15" s="1"/>
  <c r="G40" i="15" s="1"/>
  <c r="G84" i="14"/>
  <c r="G85" i="14"/>
  <c r="D42" i="15" s="1"/>
  <c r="G42" i="15" s="1"/>
  <c r="G86" i="14"/>
  <c r="G87" i="14"/>
  <c r="G88" i="14"/>
  <c r="G89" i="14"/>
  <c r="G90" i="14"/>
  <c r="G91" i="14"/>
  <c r="D48" i="15" s="1"/>
  <c r="G48" i="15" s="1"/>
  <c r="G92" i="14"/>
  <c r="G93" i="14"/>
  <c r="C86" i="14"/>
  <c r="C89" i="14"/>
  <c r="C85" i="14"/>
  <c r="C80" i="14"/>
  <c r="C93" i="14"/>
  <c r="C81" i="14"/>
  <c r="C82" i="14"/>
  <c r="C87" i="14"/>
  <c r="C91" i="14"/>
  <c r="C76" i="14"/>
  <c r="C77" i="14"/>
  <c r="C92" i="14"/>
  <c r="C78" i="14"/>
  <c r="C79" i="14"/>
  <c r="C88" i="14"/>
  <c r="C83" i="14"/>
  <c r="C84" i="14"/>
  <c r="C90" i="14"/>
  <c r="C75" i="14"/>
  <c r="C74" i="14"/>
  <c r="H74" i="14" s="1"/>
  <c r="C59" i="9"/>
  <c r="A24" i="6"/>
  <c r="A11" i="7"/>
  <c r="C61" i="9"/>
  <c r="C73" i="9"/>
  <c r="C62" i="9"/>
  <c r="C74" i="9"/>
  <c r="C76" i="9"/>
  <c r="C63" i="9"/>
  <c r="C75" i="9"/>
  <c r="C64" i="9"/>
  <c r="C78" i="9"/>
  <c r="C68" i="9"/>
  <c r="C69" i="9"/>
  <c r="C71" i="9"/>
  <c r="C72" i="9"/>
  <c r="C70" i="9"/>
  <c r="C77" i="9"/>
  <c r="C66" i="9"/>
  <c r="C60" i="9"/>
  <c r="C65" i="9"/>
  <c r="C67" i="9"/>
  <c r="D46" i="15" l="1"/>
  <c r="G46" i="15" s="1"/>
  <c r="D49" i="15"/>
  <c r="G49" i="15" s="1"/>
  <c r="D35" i="15"/>
  <c r="G35" i="15" s="1"/>
  <c r="D34" i="15"/>
  <c r="G34" i="15" s="1"/>
  <c r="D18" i="15"/>
  <c r="G18" i="15" s="1"/>
  <c r="D15" i="15"/>
  <c r="G15" i="15" s="1"/>
  <c r="D19" i="15"/>
  <c r="G19" i="15" s="1"/>
  <c r="D44" i="15"/>
  <c r="G44" i="15" s="1"/>
  <c r="D33" i="15"/>
  <c r="G33" i="15" s="1"/>
  <c r="D8" i="15"/>
  <c r="G8" i="15" s="1"/>
  <c r="D16" i="15"/>
  <c r="G16" i="15" s="1"/>
  <c r="D17" i="15"/>
  <c r="G17" i="15" s="1"/>
  <c r="D47" i="15"/>
  <c r="G47" i="15" s="1"/>
  <c r="D13" i="15"/>
  <c r="G13" i="15" s="1"/>
  <c r="D37" i="15"/>
  <c r="G37" i="15" s="1"/>
  <c r="D36" i="15"/>
  <c r="G36" i="15" s="1"/>
  <c r="D31" i="15"/>
  <c r="I75" i="9"/>
  <c r="K47" i="15" s="1"/>
  <c r="T47" i="15" s="1"/>
  <c r="H75" i="9"/>
  <c r="I60" i="9"/>
  <c r="H60" i="9"/>
  <c r="K6" i="15" s="1"/>
  <c r="T6" i="15" s="1"/>
  <c r="H78" i="9"/>
  <c r="K24" i="15" s="1"/>
  <c r="T24" i="15" s="1"/>
  <c r="I78" i="9"/>
  <c r="K50" i="15" s="1"/>
  <c r="T50" i="15" s="1"/>
  <c r="I61" i="9"/>
  <c r="K33" i="15" s="1"/>
  <c r="T33" i="15" s="1"/>
  <c r="H61" i="9"/>
  <c r="K7" i="15" s="1"/>
  <c r="T7" i="15" s="1"/>
  <c r="G94" i="14"/>
  <c r="D50" i="15"/>
  <c r="G50" i="15" s="1"/>
  <c r="D20" i="15"/>
  <c r="G20" i="15" s="1"/>
  <c r="D7" i="15"/>
  <c r="G7" i="15" s="1"/>
  <c r="H77" i="9"/>
  <c r="K23" i="15" s="1"/>
  <c r="T23" i="15" s="1"/>
  <c r="I77" i="9"/>
  <c r="K49" i="15" s="1"/>
  <c r="T49" i="15" s="1"/>
  <c r="I72" i="9"/>
  <c r="K44" i="15" s="1"/>
  <c r="T44" i="15" s="1"/>
  <c r="H72" i="9"/>
  <c r="K18" i="15" s="1"/>
  <c r="T18" i="15" s="1"/>
  <c r="H62" i="9"/>
  <c r="I62" i="9"/>
  <c r="M62" i="9" s="1"/>
  <c r="AH62" i="9" s="1"/>
  <c r="I66" i="9"/>
  <c r="M66" i="9" s="1"/>
  <c r="AH66" i="9" s="1"/>
  <c r="H66" i="9"/>
  <c r="K12" i="15" s="1"/>
  <c r="T12" i="15" s="1"/>
  <c r="H64" i="9"/>
  <c r="K10" i="15" s="1"/>
  <c r="T10" i="15" s="1"/>
  <c r="I64" i="9"/>
  <c r="K36" i="15" s="1"/>
  <c r="T36" i="15" s="1"/>
  <c r="D41" i="15"/>
  <c r="G41" i="15" s="1"/>
  <c r="D32" i="15"/>
  <c r="G32" i="15" s="1"/>
  <c r="D6" i="15"/>
  <c r="G6" i="15" s="1"/>
  <c r="D10" i="15"/>
  <c r="G10" i="15" s="1"/>
  <c r="D22" i="15"/>
  <c r="G22" i="15" s="1"/>
  <c r="G79" i="9"/>
  <c r="F79" i="9"/>
  <c r="K21" i="15"/>
  <c r="T21" i="15" s="1"/>
  <c r="H70" i="9"/>
  <c r="I70" i="9"/>
  <c r="M70" i="9" s="1"/>
  <c r="AH70" i="9" s="1"/>
  <c r="I63" i="9"/>
  <c r="K35" i="15" s="1"/>
  <c r="T35" i="15" s="1"/>
  <c r="H63" i="9"/>
  <c r="K9" i="15" s="1"/>
  <c r="T9" i="15" s="1"/>
  <c r="H59" i="9"/>
  <c r="K5" i="15" s="1"/>
  <c r="I59" i="9"/>
  <c r="M59" i="9" s="1"/>
  <c r="D39" i="15"/>
  <c r="G39" i="15" s="1"/>
  <c r="D14" i="15"/>
  <c r="G14" i="15" s="1"/>
  <c r="D12" i="15"/>
  <c r="G12" i="15" s="1"/>
  <c r="K8" i="15"/>
  <c r="T8" i="15" s="1"/>
  <c r="D38" i="15"/>
  <c r="G38" i="15" s="1"/>
  <c r="D5" i="15"/>
  <c r="F94" i="14"/>
  <c r="I71" i="9"/>
  <c r="M71" i="9" s="1"/>
  <c r="AH71" i="9" s="1"/>
  <c r="H71" i="9"/>
  <c r="K17" i="15" s="1"/>
  <c r="T17" i="15" s="1"/>
  <c r="H74" i="9"/>
  <c r="K20" i="15" s="1"/>
  <c r="T20" i="15" s="1"/>
  <c r="I74" i="9"/>
  <c r="M74" i="9" s="1"/>
  <c r="AH74" i="9" s="1"/>
  <c r="D45" i="15"/>
  <c r="G45" i="15" s="1"/>
  <c r="N101" i="14"/>
  <c r="F121" i="14"/>
  <c r="K34" i="15"/>
  <c r="T34" i="15" s="1"/>
  <c r="H76" i="9"/>
  <c r="K22" i="15" s="1"/>
  <c r="T22" i="15" s="1"/>
  <c r="I76" i="9"/>
  <c r="M76" i="9" s="1"/>
  <c r="AH76" i="9" s="1"/>
  <c r="H67" i="9"/>
  <c r="K13" i="15" s="1"/>
  <c r="T13" i="15" s="1"/>
  <c r="I67" i="9"/>
  <c r="K39" i="15" s="1"/>
  <c r="T39" i="15" s="1"/>
  <c r="K16" i="15"/>
  <c r="T16" i="15" s="1"/>
  <c r="I69" i="9"/>
  <c r="K41" i="15" s="1"/>
  <c r="T41" i="15" s="1"/>
  <c r="H69" i="9"/>
  <c r="K15" i="15" s="1"/>
  <c r="T15" i="15" s="1"/>
  <c r="H65" i="9"/>
  <c r="K11" i="15" s="1"/>
  <c r="T11" i="15" s="1"/>
  <c r="I65" i="9"/>
  <c r="M65" i="9" s="1"/>
  <c r="AH65" i="9" s="1"/>
  <c r="H68" i="9"/>
  <c r="K14" i="15" s="1"/>
  <c r="T14" i="15" s="1"/>
  <c r="I68" i="9"/>
  <c r="M68" i="9" s="1"/>
  <c r="AH68" i="9" s="1"/>
  <c r="I73" i="9"/>
  <c r="M73" i="9" s="1"/>
  <c r="AH73" i="9" s="1"/>
  <c r="H73" i="9"/>
  <c r="K19" i="15" s="1"/>
  <c r="T19" i="15" s="1"/>
  <c r="D43" i="15"/>
  <c r="G43" i="15" s="1"/>
  <c r="G121" i="14"/>
  <c r="O101" i="14"/>
  <c r="AJ101" i="14" s="1"/>
  <c r="AJ121" i="14" s="1"/>
  <c r="D24" i="15"/>
  <c r="G24" i="15" s="1"/>
  <c r="K32" i="15"/>
  <c r="T32" i="15" s="1"/>
  <c r="M60" i="9"/>
  <c r="AH60" i="9" s="1"/>
  <c r="I74" i="14"/>
  <c r="H92" i="14"/>
  <c r="N92" i="14" s="1"/>
  <c r="AI92" i="14" s="1"/>
  <c r="I92" i="14"/>
  <c r="O92" i="14" s="1"/>
  <c r="AJ92" i="14" s="1"/>
  <c r="H87" i="14"/>
  <c r="N87" i="14" s="1"/>
  <c r="AI87" i="14" s="1"/>
  <c r="I87" i="14"/>
  <c r="O87" i="14" s="1"/>
  <c r="AJ87" i="14" s="1"/>
  <c r="H84" i="14"/>
  <c r="N84" i="14" s="1"/>
  <c r="AI84" i="14" s="1"/>
  <c r="I84" i="14"/>
  <c r="O84" i="14" s="1"/>
  <c r="AJ84" i="14" s="1"/>
  <c r="H76" i="14"/>
  <c r="N76" i="14" s="1"/>
  <c r="AI76" i="14" s="1"/>
  <c r="I76" i="14"/>
  <c r="O76" i="14" s="1"/>
  <c r="AJ76" i="14" s="1"/>
  <c r="H75" i="14"/>
  <c r="N75" i="14" s="1"/>
  <c r="AI75" i="14" s="1"/>
  <c r="I75" i="14"/>
  <c r="O75" i="14" s="1"/>
  <c r="AJ75" i="14" s="1"/>
  <c r="I81" i="14"/>
  <c r="O81" i="14" s="1"/>
  <c r="AJ81" i="14" s="1"/>
  <c r="H81" i="14"/>
  <c r="N81" i="14" s="1"/>
  <c r="AI81" i="14" s="1"/>
  <c r="I83" i="14"/>
  <c r="O83" i="14" s="1"/>
  <c r="AJ83" i="14" s="1"/>
  <c r="H83" i="14"/>
  <c r="N83" i="14" s="1"/>
  <c r="AI83" i="14" s="1"/>
  <c r="H89" i="14"/>
  <c r="N89" i="14" s="1"/>
  <c r="AI89" i="14" s="1"/>
  <c r="I89" i="14"/>
  <c r="O89" i="14" s="1"/>
  <c r="AJ89" i="14" s="1"/>
  <c r="I77" i="14"/>
  <c r="O77" i="14" s="1"/>
  <c r="AJ77" i="14" s="1"/>
  <c r="H77" i="14"/>
  <c r="N77" i="14" s="1"/>
  <c r="AI77" i="14" s="1"/>
  <c r="H91" i="14"/>
  <c r="N91" i="14" s="1"/>
  <c r="AI91" i="14" s="1"/>
  <c r="I91" i="14"/>
  <c r="O91" i="14" s="1"/>
  <c r="AJ91" i="14" s="1"/>
  <c r="H82" i="14"/>
  <c r="N82" i="14" s="1"/>
  <c r="AI82" i="14" s="1"/>
  <c r="I82" i="14"/>
  <c r="O82" i="14" s="1"/>
  <c r="AJ82" i="14" s="1"/>
  <c r="H90" i="14"/>
  <c r="N90" i="14" s="1"/>
  <c r="AI90" i="14" s="1"/>
  <c r="I90" i="14"/>
  <c r="O90" i="14" s="1"/>
  <c r="AJ90" i="14" s="1"/>
  <c r="I93" i="14"/>
  <c r="O93" i="14" s="1"/>
  <c r="AJ93" i="14" s="1"/>
  <c r="H93" i="14"/>
  <c r="N93" i="14" s="1"/>
  <c r="AI93" i="14" s="1"/>
  <c r="H80" i="14"/>
  <c r="N80" i="14" s="1"/>
  <c r="AI80" i="14" s="1"/>
  <c r="I80" i="14"/>
  <c r="O80" i="14" s="1"/>
  <c r="AJ80" i="14" s="1"/>
  <c r="H88" i="14"/>
  <c r="N88" i="14" s="1"/>
  <c r="AI88" i="14" s="1"/>
  <c r="I88" i="14"/>
  <c r="O88" i="14" s="1"/>
  <c r="AJ88" i="14" s="1"/>
  <c r="H85" i="14"/>
  <c r="N85" i="14" s="1"/>
  <c r="AI85" i="14" s="1"/>
  <c r="I85" i="14"/>
  <c r="O85" i="14" s="1"/>
  <c r="AJ85" i="14" s="1"/>
  <c r="H79" i="14"/>
  <c r="N79" i="14" s="1"/>
  <c r="AI79" i="14" s="1"/>
  <c r="I79" i="14"/>
  <c r="O79" i="14" s="1"/>
  <c r="AJ79" i="14" s="1"/>
  <c r="H78" i="14"/>
  <c r="N78" i="14" s="1"/>
  <c r="AI78" i="14" s="1"/>
  <c r="I78" i="14"/>
  <c r="O78" i="14" s="1"/>
  <c r="AJ78" i="14" s="1"/>
  <c r="H86" i="14"/>
  <c r="N86" i="14" s="1"/>
  <c r="AI86" i="14" s="1"/>
  <c r="I86" i="14"/>
  <c r="O86" i="14" s="1"/>
  <c r="AJ86" i="14" s="1"/>
  <c r="C24" i="6"/>
  <c r="C94" i="14"/>
  <c r="A25" i="6"/>
  <c r="A12" i="7"/>
  <c r="C79" i="9"/>
  <c r="G31" i="15" l="1"/>
  <c r="D51" i="15"/>
  <c r="M72" i="9"/>
  <c r="AH72" i="9" s="1"/>
  <c r="M78" i="9"/>
  <c r="AH78" i="9" s="1"/>
  <c r="K43" i="15"/>
  <c r="T43" i="15" s="1"/>
  <c r="M63" i="9"/>
  <c r="AH63" i="9" s="1"/>
  <c r="K46" i="15"/>
  <c r="T46" i="15" s="1"/>
  <c r="K45" i="15"/>
  <c r="T45" i="15" s="1"/>
  <c r="M64" i="9"/>
  <c r="AH64" i="9" s="1"/>
  <c r="K42" i="15"/>
  <c r="T42" i="15" s="1"/>
  <c r="M61" i="9"/>
  <c r="AH61" i="9" s="1"/>
  <c r="M77" i="9"/>
  <c r="AH77" i="9" s="1"/>
  <c r="K48" i="15"/>
  <c r="T48" i="15" s="1"/>
  <c r="M75" i="9"/>
  <c r="AH75" i="9" s="1"/>
  <c r="K37" i="15"/>
  <c r="T37" i="15" s="1"/>
  <c r="G51" i="15"/>
  <c r="I79" i="9"/>
  <c r="K40" i="15"/>
  <c r="T40" i="15" s="1"/>
  <c r="K31" i="15"/>
  <c r="M67" i="9"/>
  <c r="AH67" i="9" s="1"/>
  <c r="H79" i="9"/>
  <c r="AI101" i="14"/>
  <c r="AI121" i="14" s="1"/>
  <c r="N121" i="14"/>
  <c r="D25" i="15"/>
  <c r="G5" i="15"/>
  <c r="M69" i="9"/>
  <c r="AH69" i="9" s="1"/>
  <c r="K38" i="15"/>
  <c r="T38" i="15" s="1"/>
  <c r="L5" i="15"/>
  <c r="T5" i="15"/>
  <c r="K25" i="15"/>
  <c r="H94" i="14"/>
  <c r="N74" i="14"/>
  <c r="I94" i="14"/>
  <c r="O74" i="14"/>
  <c r="H24" i="6"/>
  <c r="I24" i="6"/>
  <c r="I23" i="6"/>
  <c r="H23" i="6"/>
  <c r="D24" i="6"/>
  <c r="C49" i="6"/>
  <c r="D49" i="6"/>
  <c r="A26" i="6"/>
  <c r="A13" i="7"/>
  <c r="V24" i="6" l="1"/>
  <c r="W24" i="6"/>
  <c r="X24" i="6"/>
  <c r="Y24" i="6"/>
  <c r="Z24" i="6"/>
  <c r="AA24" i="6"/>
  <c r="U5" i="15"/>
  <c r="T25" i="15"/>
  <c r="K51" i="15"/>
  <c r="AA49" i="6"/>
  <c r="O49" i="6"/>
  <c r="P49" i="6"/>
  <c r="W49" i="6"/>
  <c r="Q49" i="6"/>
  <c r="V49" i="6"/>
  <c r="R49" i="6"/>
  <c r="Y49" i="6"/>
  <c r="Z49" i="6"/>
  <c r="X49" i="6"/>
  <c r="Q5" i="15"/>
  <c r="T31" i="15"/>
  <c r="L31" i="15"/>
  <c r="Q31" i="15" s="1"/>
  <c r="N94" i="14"/>
  <c r="AI74" i="14"/>
  <c r="AI94" i="14" s="1"/>
  <c r="O24" i="6"/>
  <c r="R24" i="6"/>
  <c r="P24" i="6"/>
  <c r="Q24" i="6"/>
  <c r="F24" i="6"/>
  <c r="I6" i="15" s="1"/>
  <c r="G24" i="6"/>
  <c r="I32" i="15" s="1"/>
  <c r="J24" i="6"/>
  <c r="K24" i="6"/>
  <c r="M23" i="6"/>
  <c r="F49" i="6"/>
  <c r="S6" i="15" s="1"/>
  <c r="J49" i="6"/>
  <c r="G49" i="6"/>
  <c r="S32" i="15" s="1"/>
  <c r="K49" i="6"/>
  <c r="H49" i="6"/>
  <c r="I49" i="6"/>
  <c r="L23" i="6"/>
  <c r="AE23" i="6" s="1"/>
  <c r="D25" i="6"/>
  <c r="C25" i="6"/>
  <c r="D50" i="6"/>
  <c r="C50" i="6"/>
  <c r="A27" i="6"/>
  <c r="A14" i="7"/>
  <c r="AD31" i="15" l="1"/>
  <c r="U32" i="15"/>
  <c r="V25" i="6"/>
  <c r="Z25" i="6"/>
  <c r="M7" i="15" s="1"/>
  <c r="W25" i="6"/>
  <c r="X25" i="6"/>
  <c r="Y25" i="6"/>
  <c r="AA25" i="6"/>
  <c r="M33" i="15" s="1"/>
  <c r="U6" i="15"/>
  <c r="AD5" i="15"/>
  <c r="T49" i="6"/>
  <c r="X32" i="15" s="1"/>
  <c r="M32" i="15"/>
  <c r="U31" i="15"/>
  <c r="Z31" i="15" s="1"/>
  <c r="T51" i="15"/>
  <c r="AC49" i="6"/>
  <c r="W32" i="15"/>
  <c r="S49" i="6"/>
  <c r="X6" i="15" s="1"/>
  <c r="M6" i="15"/>
  <c r="AB49" i="6"/>
  <c r="V6" i="15"/>
  <c r="V32" i="15"/>
  <c r="L32" i="15"/>
  <c r="Z5" i="15"/>
  <c r="N32" i="15"/>
  <c r="AC24" i="6"/>
  <c r="Y50" i="6"/>
  <c r="V50" i="6"/>
  <c r="O50" i="6"/>
  <c r="W50" i="6"/>
  <c r="X50" i="6"/>
  <c r="AA50" i="6"/>
  <c r="V33" i="15" s="1"/>
  <c r="Q50" i="6"/>
  <c r="R50" i="6"/>
  <c r="Z50" i="6"/>
  <c r="V7" i="15" s="1"/>
  <c r="P50" i="6"/>
  <c r="L6" i="15"/>
  <c r="W6" i="15"/>
  <c r="N6" i="15"/>
  <c r="AB24" i="6"/>
  <c r="T24" i="6"/>
  <c r="O32" i="15" s="1"/>
  <c r="O25" i="6"/>
  <c r="P25" i="6"/>
  <c r="Q25" i="6"/>
  <c r="R25" i="6"/>
  <c r="S24" i="6"/>
  <c r="O6" i="15" s="1"/>
  <c r="M49" i="6"/>
  <c r="H50" i="6"/>
  <c r="I50" i="6"/>
  <c r="K50" i="6"/>
  <c r="F50" i="6"/>
  <c r="S7" i="15" s="1"/>
  <c r="U7" i="15" s="1"/>
  <c r="G50" i="6"/>
  <c r="S33" i="15" s="1"/>
  <c r="J50" i="6"/>
  <c r="K25" i="6"/>
  <c r="J25" i="6"/>
  <c r="G25" i="6"/>
  <c r="I33" i="15" s="1"/>
  <c r="F25" i="6"/>
  <c r="I7" i="15" s="1"/>
  <c r="L7" i="15" s="1"/>
  <c r="L49" i="6"/>
  <c r="H25" i="6"/>
  <c r="I25" i="6"/>
  <c r="M24" i="6"/>
  <c r="AF23" i="6"/>
  <c r="L24" i="6"/>
  <c r="D51" i="6"/>
  <c r="C51" i="6"/>
  <c r="A28" i="6"/>
  <c r="C26" i="6"/>
  <c r="D26" i="6"/>
  <c r="A15" i="7"/>
  <c r="B8" i="4"/>
  <c r="B5" i="3"/>
  <c r="T50" i="6" l="1"/>
  <c r="X33" i="15" s="1"/>
  <c r="S50" i="6"/>
  <c r="X7" i="15" s="1"/>
  <c r="AE31" i="15"/>
  <c r="Q6" i="15"/>
  <c r="Q32" i="15"/>
  <c r="AC25" i="6"/>
  <c r="N33" i="15"/>
  <c r="W51" i="6"/>
  <c r="X51" i="6"/>
  <c r="O51" i="6"/>
  <c r="Y51" i="6"/>
  <c r="P51" i="6"/>
  <c r="AA51" i="6"/>
  <c r="V34" i="15" s="1"/>
  <c r="R51" i="6"/>
  <c r="Z51" i="6"/>
  <c r="Q51" i="6"/>
  <c r="V51" i="6"/>
  <c r="AB50" i="6"/>
  <c r="W7" i="15"/>
  <c r="AE49" i="6"/>
  <c r="AF49" i="6"/>
  <c r="AB25" i="6"/>
  <c r="N7" i="15"/>
  <c r="L33" i="15"/>
  <c r="AE24" i="6"/>
  <c r="Z6" i="15"/>
  <c r="AE6" i="15" s="1"/>
  <c r="Z32" i="15"/>
  <c r="AE32" i="15" s="1"/>
  <c r="AE5" i="15"/>
  <c r="AF24" i="6"/>
  <c r="U33" i="15"/>
  <c r="AC50" i="6"/>
  <c r="W33" i="15"/>
  <c r="X26" i="6"/>
  <c r="Y26" i="6"/>
  <c r="Z26" i="6"/>
  <c r="AA26" i="6"/>
  <c r="V26" i="6"/>
  <c r="W26" i="6"/>
  <c r="T25" i="6"/>
  <c r="O33" i="15" s="1"/>
  <c r="S25" i="6"/>
  <c r="O7" i="15" s="1"/>
  <c r="P26" i="6"/>
  <c r="R26" i="6"/>
  <c r="Q26" i="6"/>
  <c r="O26" i="6"/>
  <c r="M25" i="6"/>
  <c r="L25" i="6"/>
  <c r="I51" i="6"/>
  <c r="H51" i="6"/>
  <c r="M50" i="6"/>
  <c r="F51" i="6"/>
  <c r="S8" i="15" s="1"/>
  <c r="U8" i="15" s="1"/>
  <c r="G51" i="6"/>
  <c r="S34" i="15" s="1"/>
  <c r="U34" i="15" s="1"/>
  <c r="J51" i="6"/>
  <c r="K51" i="6"/>
  <c r="L50" i="6"/>
  <c r="H26" i="6"/>
  <c r="I26" i="6"/>
  <c r="F26" i="6"/>
  <c r="I8" i="15" s="1"/>
  <c r="G26" i="6"/>
  <c r="I34" i="15" s="1"/>
  <c r="J26" i="6"/>
  <c r="K26" i="6"/>
  <c r="C52" i="6"/>
  <c r="D52" i="6"/>
  <c r="A29" i="6"/>
  <c r="C27" i="6"/>
  <c r="D27" i="6"/>
  <c r="A16" i="7"/>
  <c r="D16" i="7" s="1"/>
  <c r="B6" i="3"/>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D10" i="7"/>
  <c r="D11" i="7"/>
  <c r="D12" i="7"/>
  <c r="D13" i="7"/>
  <c r="D14" i="7"/>
  <c r="D15" i="7"/>
  <c r="Z7" i="15" l="1"/>
  <c r="AE7" i="15" s="1"/>
  <c r="Q33" i="15"/>
  <c r="AD33" i="15" s="1"/>
  <c r="Q7" i="15"/>
  <c r="AD7" i="15" s="1"/>
  <c r="AE50" i="6"/>
  <c r="S51" i="6"/>
  <c r="X8" i="15" s="1"/>
  <c r="X27" i="6"/>
  <c r="Y27" i="6"/>
  <c r="Z27" i="6"/>
  <c r="M9" i="15" s="1"/>
  <c r="AA27" i="6"/>
  <c r="M35" i="15" s="1"/>
  <c r="V27" i="6"/>
  <c r="W27" i="6"/>
  <c r="AC51" i="6"/>
  <c r="W34" i="15"/>
  <c r="AE25" i="6"/>
  <c r="V8" i="15"/>
  <c r="Y52" i="6"/>
  <c r="R52" i="6"/>
  <c r="Z52" i="6"/>
  <c r="V9" i="15" s="1"/>
  <c r="AA52" i="6"/>
  <c r="W52" i="6"/>
  <c r="P52" i="6"/>
  <c r="X52" i="6"/>
  <c r="V52" i="6"/>
  <c r="O52" i="6"/>
  <c r="Q52" i="6"/>
  <c r="AF25" i="6"/>
  <c r="N8" i="15"/>
  <c r="AB26" i="6"/>
  <c r="L8" i="15"/>
  <c r="L34" i="15"/>
  <c r="AD6" i="15"/>
  <c r="M8" i="15"/>
  <c r="AF50" i="6"/>
  <c r="T51" i="6"/>
  <c r="X34" i="15" s="1"/>
  <c r="AB51" i="6"/>
  <c r="W8" i="15"/>
  <c r="S26" i="6"/>
  <c r="O8" i="15" s="1"/>
  <c r="N34" i="15"/>
  <c r="AC26" i="6"/>
  <c r="Z33" i="15"/>
  <c r="AE33" i="15" s="1"/>
  <c r="AD32" i="15"/>
  <c r="M34" i="15"/>
  <c r="T26" i="6"/>
  <c r="O34" i="15" s="1"/>
  <c r="M26" i="6"/>
  <c r="P27" i="6"/>
  <c r="Q27" i="6"/>
  <c r="R27" i="6"/>
  <c r="O27" i="6"/>
  <c r="L26" i="6"/>
  <c r="M51" i="6"/>
  <c r="L51" i="6"/>
  <c r="K52" i="6"/>
  <c r="J52" i="6"/>
  <c r="F52" i="6"/>
  <c r="S9" i="15" s="1"/>
  <c r="U9" i="15" s="1"/>
  <c r="G52" i="6"/>
  <c r="S35" i="15" s="1"/>
  <c r="U35" i="15" s="1"/>
  <c r="I52" i="6"/>
  <c r="H52" i="6"/>
  <c r="G27" i="6"/>
  <c r="I35" i="15" s="1"/>
  <c r="J27" i="6"/>
  <c r="K27" i="6"/>
  <c r="F27" i="6"/>
  <c r="I9" i="15" s="1"/>
  <c r="H27" i="6"/>
  <c r="I27" i="6"/>
  <c r="C28" i="6"/>
  <c r="D28" i="6"/>
  <c r="C53" i="6"/>
  <c r="D53" i="6"/>
  <c r="A30" i="6"/>
  <c r="AH59" i="9"/>
  <c r="A17" i="7"/>
  <c r="X79" i="9"/>
  <c r="M79" i="9"/>
  <c r="AF26" i="6" l="1"/>
  <c r="AC52" i="6"/>
  <c r="T52" i="6"/>
  <c r="X35" i="15" s="1"/>
  <c r="Z34" i="15"/>
  <c r="AE34" i="15" s="1"/>
  <c r="W35" i="15"/>
  <c r="Q34" i="15"/>
  <c r="L35" i="15"/>
  <c r="S27" i="6"/>
  <c r="O9" i="15" s="1"/>
  <c r="V35" i="15"/>
  <c r="AE51" i="6"/>
  <c r="AF51" i="6"/>
  <c r="L9" i="15"/>
  <c r="Z8" i="15"/>
  <c r="Q8" i="15"/>
  <c r="S52" i="6"/>
  <c r="X9" i="15" s="1"/>
  <c r="N35" i="15"/>
  <c r="AC27" i="6"/>
  <c r="X28" i="6"/>
  <c r="Y28" i="6"/>
  <c r="Z28" i="6"/>
  <c r="AA28" i="6"/>
  <c r="M36" i="15" s="1"/>
  <c r="V28" i="6"/>
  <c r="W28" i="6"/>
  <c r="AE26" i="6"/>
  <c r="AA53" i="6"/>
  <c r="V36" i="15" s="1"/>
  <c r="Q53" i="6"/>
  <c r="O53" i="6"/>
  <c r="W53" i="6"/>
  <c r="V53" i="6"/>
  <c r="P53" i="6"/>
  <c r="Y53" i="6"/>
  <c r="X53" i="6"/>
  <c r="Z53" i="6"/>
  <c r="R53" i="6"/>
  <c r="AB52" i="6"/>
  <c r="W9" i="15"/>
  <c r="N9" i="15"/>
  <c r="AB27" i="6"/>
  <c r="O28" i="6"/>
  <c r="Q28" i="6"/>
  <c r="R28" i="6"/>
  <c r="P28" i="6"/>
  <c r="T27" i="6"/>
  <c r="O35" i="15" s="1"/>
  <c r="M52" i="6"/>
  <c r="AF52" i="6" s="1"/>
  <c r="H53" i="6"/>
  <c r="I53" i="6"/>
  <c r="F28" i="6"/>
  <c r="I10" i="15" s="1"/>
  <c r="G28" i="6"/>
  <c r="I36" i="15" s="1"/>
  <c r="K28" i="6"/>
  <c r="J28" i="6"/>
  <c r="M27" i="6"/>
  <c r="L52" i="6"/>
  <c r="G53" i="6"/>
  <c r="S36" i="15" s="1"/>
  <c r="U36" i="15" s="1"/>
  <c r="F53" i="6"/>
  <c r="S10" i="15" s="1"/>
  <c r="J53" i="6"/>
  <c r="K53" i="6"/>
  <c r="L27" i="6"/>
  <c r="H28" i="6"/>
  <c r="I28" i="6"/>
  <c r="D54" i="6"/>
  <c r="C54" i="6"/>
  <c r="A31" i="6"/>
  <c r="D29" i="6"/>
  <c r="C29" i="6"/>
  <c r="AE79" i="9"/>
  <c r="AH79" i="9"/>
  <c r="A18" i="7"/>
  <c r="D17" i="7"/>
  <c r="AF27" i="6" l="1"/>
  <c r="Z35" i="15"/>
  <c r="AE35" i="15" s="1"/>
  <c r="Z9" i="15"/>
  <c r="AE9" i="15" s="1"/>
  <c r="S53" i="6"/>
  <c r="X10" i="15" s="1"/>
  <c r="AE27" i="6"/>
  <c r="AA54" i="6"/>
  <c r="Q54" i="6"/>
  <c r="R54" i="6"/>
  <c r="W54" i="6"/>
  <c r="V54" i="6"/>
  <c r="Y54" i="6"/>
  <c r="O54" i="6"/>
  <c r="P54" i="6"/>
  <c r="X54" i="6"/>
  <c r="Z54" i="6"/>
  <c r="V11" i="15" s="1"/>
  <c r="U10" i="15"/>
  <c r="M53" i="6"/>
  <c r="T53" i="6"/>
  <c r="X36" i="15" s="1"/>
  <c r="V10" i="15"/>
  <c r="AE8" i="15"/>
  <c r="AD34" i="15"/>
  <c r="W10" i="15"/>
  <c r="AB53" i="6"/>
  <c r="AC28" i="6"/>
  <c r="N36" i="15"/>
  <c r="L36" i="15"/>
  <c r="L10" i="15"/>
  <c r="Q9" i="15"/>
  <c r="AD9" i="15" s="1"/>
  <c r="W36" i="15"/>
  <c r="AC53" i="6"/>
  <c r="AB28" i="6"/>
  <c r="N10" i="15"/>
  <c r="Z29" i="6"/>
  <c r="M11" i="15" s="1"/>
  <c r="V29" i="6"/>
  <c r="AA29" i="6"/>
  <c r="M37" i="15" s="1"/>
  <c r="X29" i="6"/>
  <c r="Y29" i="6"/>
  <c r="W29" i="6"/>
  <c r="AE52" i="6"/>
  <c r="T28" i="6"/>
  <c r="O36" i="15" s="1"/>
  <c r="M10" i="15"/>
  <c r="AD8" i="15"/>
  <c r="Q35" i="15"/>
  <c r="AD35" i="15" s="1"/>
  <c r="S28" i="6"/>
  <c r="O10" i="15" s="1"/>
  <c r="Q29" i="6"/>
  <c r="O29" i="6"/>
  <c r="P29" i="6"/>
  <c r="R29" i="6"/>
  <c r="M28" i="6"/>
  <c r="I29" i="6"/>
  <c r="H29" i="6"/>
  <c r="L53" i="6"/>
  <c r="L28" i="6"/>
  <c r="G29" i="6"/>
  <c r="I37" i="15" s="1"/>
  <c r="L37" i="15" s="1"/>
  <c r="J29" i="6"/>
  <c r="K29" i="6"/>
  <c r="F29" i="6"/>
  <c r="I11" i="15" s="1"/>
  <c r="L11" i="15" s="1"/>
  <c r="H54" i="6"/>
  <c r="I54" i="6"/>
  <c r="J54" i="6"/>
  <c r="K54" i="6"/>
  <c r="G54" i="6"/>
  <c r="F54" i="6"/>
  <c r="C19" i="8"/>
  <c r="C7" i="8"/>
  <c r="C30" i="6"/>
  <c r="D30" i="6"/>
  <c r="C55" i="6"/>
  <c r="D55" i="6"/>
  <c r="A32" i="6"/>
  <c r="A19" i="7"/>
  <c r="D18" i="7"/>
  <c r="S29" i="6" l="1"/>
  <c r="O11" i="15" s="1"/>
  <c r="Z10" i="15"/>
  <c r="AE10" i="15" s="1"/>
  <c r="Z36" i="15"/>
  <c r="AE36" i="15" s="1"/>
  <c r="Q10" i="15"/>
  <c r="AD10" i="15" s="1"/>
  <c r="Q36" i="15"/>
  <c r="AD36" i="15" s="1"/>
  <c r="S54" i="6"/>
  <c r="X11" i="15" s="1"/>
  <c r="N37" i="15"/>
  <c r="AC29" i="6"/>
  <c r="Y55" i="6"/>
  <c r="Z55" i="6"/>
  <c r="AA55" i="6"/>
  <c r="V38" i="15" s="1"/>
  <c r="O55" i="6"/>
  <c r="P55" i="6"/>
  <c r="W55" i="6"/>
  <c r="R55" i="6"/>
  <c r="Q55" i="6"/>
  <c r="V55" i="6"/>
  <c r="X55" i="6"/>
  <c r="AE28" i="6"/>
  <c r="AF28" i="6"/>
  <c r="L54" i="6"/>
  <c r="S11" i="15"/>
  <c r="U11" i="15" s="1"/>
  <c r="W37" i="15"/>
  <c r="AC54" i="6"/>
  <c r="M54" i="6"/>
  <c r="S37" i="15"/>
  <c r="N11" i="15"/>
  <c r="AB29" i="6"/>
  <c r="W11" i="15"/>
  <c r="AB54" i="6"/>
  <c r="AF53" i="6"/>
  <c r="Z30" i="6"/>
  <c r="AA30" i="6"/>
  <c r="M38" i="15" s="1"/>
  <c r="V30" i="6"/>
  <c r="X30" i="6"/>
  <c r="W30" i="6"/>
  <c r="Y30" i="6"/>
  <c r="AE53" i="6"/>
  <c r="V37" i="15"/>
  <c r="T54" i="6"/>
  <c r="X37" i="15" s="1"/>
  <c r="R30" i="6"/>
  <c r="Q30" i="6"/>
  <c r="P30" i="6"/>
  <c r="O30" i="6"/>
  <c r="T29" i="6"/>
  <c r="O37" i="15" s="1"/>
  <c r="M29" i="6"/>
  <c r="F55" i="6"/>
  <c r="S12" i="15" s="1"/>
  <c r="U12" i="15" s="1"/>
  <c r="K55" i="6"/>
  <c r="G55" i="6"/>
  <c r="S38" i="15" s="1"/>
  <c r="U38" i="15" s="1"/>
  <c r="J55" i="6"/>
  <c r="L29" i="6"/>
  <c r="H55" i="6"/>
  <c r="I55" i="6"/>
  <c r="F30" i="6"/>
  <c r="I12" i="15" s="1"/>
  <c r="L12" i="15" s="1"/>
  <c r="G30" i="6"/>
  <c r="I38" i="15" s="1"/>
  <c r="J30" i="6"/>
  <c r="K30" i="6"/>
  <c r="I30" i="6"/>
  <c r="H30" i="6"/>
  <c r="C31" i="6"/>
  <c r="D31" i="6"/>
  <c r="A33" i="6"/>
  <c r="C56" i="6"/>
  <c r="D56" i="6"/>
  <c r="A20" i="7"/>
  <c r="D19" i="7"/>
  <c r="Q11" i="15" l="1"/>
  <c r="AD11" i="15" s="1"/>
  <c r="W12" i="15"/>
  <c r="Q37" i="15"/>
  <c r="AD37" i="15" s="1"/>
  <c r="T30" i="6"/>
  <c r="O38" i="15" s="1"/>
  <c r="S30" i="6"/>
  <c r="O12" i="15" s="1"/>
  <c r="AB55" i="6"/>
  <c r="V12" i="15"/>
  <c r="L38" i="15"/>
  <c r="Z11" i="15"/>
  <c r="N12" i="15"/>
  <c r="AB30" i="6"/>
  <c r="AE54" i="6"/>
  <c r="AE29" i="6"/>
  <c r="AC55" i="6"/>
  <c r="W38" i="15"/>
  <c r="AF29" i="6"/>
  <c r="N38" i="15"/>
  <c r="AC30" i="6"/>
  <c r="M12" i="15"/>
  <c r="T55" i="6"/>
  <c r="X38" i="15" s="1"/>
  <c r="AF54" i="6"/>
  <c r="Z31" i="6"/>
  <c r="M13" i="15" s="1"/>
  <c r="AA31" i="6"/>
  <c r="M39" i="15" s="1"/>
  <c r="V31" i="6"/>
  <c r="X31" i="6"/>
  <c r="Y31" i="6"/>
  <c r="W31" i="6"/>
  <c r="AA56" i="6"/>
  <c r="V39" i="15" s="1"/>
  <c r="P56" i="6"/>
  <c r="W56" i="6"/>
  <c r="Q56" i="6"/>
  <c r="R56" i="6"/>
  <c r="V56" i="6"/>
  <c r="Y56" i="6"/>
  <c r="Z56" i="6"/>
  <c r="V13" i="15" s="1"/>
  <c r="X56" i="6"/>
  <c r="O56" i="6"/>
  <c r="U37" i="15"/>
  <c r="Z37" i="15" s="1"/>
  <c r="AE37" i="15" s="1"/>
  <c r="S55" i="6"/>
  <c r="X12" i="15" s="1"/>
  <c r="R31" i="6"/>
  <c r="O31" i="6"/>
  <c r="P31" i="6"/>
  <c r="Q31" i="6"/>
  <c r="F31" i="6"/>
  <c r="I13" i="15" s="1"/>
  <c r="G31" i="6"/>
  <c r="I39" i="15" s="1"/>
  <c r="L39" i="15" s="1"/>
  <c r="J31" i="6"/>
  <c r="K31" i="6"/>
  <c r="M55" i="6"/>
  <c r="M30" i="6"/>
  <c r="H56" i="6"/>
  <c r="I56" i="6"/>
  <c r="H31" i="6"/>
  <c r="I31" i="6"/>
  <c r="L30" i="6"/>
  <c r="F56" i="6"/>
  <c r="S13" i="15" s="1"/>
  <c r="U13" i="15" s="1"/>
  <c r="J56" i="6"/>
  <c r="G56" i="6"/>
  <c r="S39" i="15" s="1"/>
  <c r="K56" i="6"/>
  <c r="L55" i="6"/>
  <c r="D32" i="6"/>
  <c r="C32" i="6"/>
  <c r="C57" i="6"/>
  <c r="D57" i="6"/>
  <c r="A34" i="6"/>
  <c r="A21" i="7"/>
  <c r="D20" i="7"/>
  <c r="T31" i="6" l="1"/>
  <c r="O39" i="15" s="1"/>
  <c r="Q12" i="15"/>
  <c r="AD12" i="15" s="1"/>
  <c r="Z38" i="15"/>
  <c r="AE38" i="15" s="1"/>
  <c r="S56" i="6"/>
  <c r="X13" i="15" s="1"/>
  <c r="T56" i="6"/>
  <c r="X39" i="15" s="1"/>
  <c r="V57" i="6"/>
  <c r="Y57" i="6"/>
  <c r="W57" i="6"/>
  <c r="O57" i="6"/>
  <c r="X57" i="6"/>
  <c r="AA57" i="6"/>
  <c r="V40" i="15" s="1"/>
  <c r="Q57" i="6"/>
  <c r="R57" i="6"/>
  <c r="Z57" i="6"/>
  <c r="V14" i="15" s="1"/>
  <c r="P57" i="6"/>
  <c r="U39" i="15"/>
  <c r="AF55" i="6"/>
  <c r="AE11" i="15"/>
  <c r="X32" i="6"/>
  <c r="V32" i="6"/>
  <c r="W32" i="6"/>
  <c r="Z32" i="6"/>
  <c r="M14" i="15" s="1"/>
  <c r="AA32" i="6"/>
  <c r="M40" i="15" s="1"/>
  <c r="Y32" i="6"/>
  <c r="AB56" i="6"/>
  <c r="W13" i="15"/>
  <c r="Q38" i="15"/>
  <c r="AD38" i="15" s="1"/>
  <c r="AC31" i="6"/>
  <c r="N39" i="15"/>
  <c r="AB31" i="6"/>
  <c r="N13" i="15"/>
  <c r="AF30" i="6"/>
  <c r="L13" i="15"/>
  <c r="M56" i="6"/>
  <c r="AC56" i="6"/>
  <c r="W39" i="15"/>
  <c r="Z12" i="15"/>
  <c r="AE12" i="15" s="1"/>
  <c r="AE30" i="6"/>
  <c r="AE55" i="6"/>
  <c r="O32" i="6"/>
  <c r="P32" i="6"/>
  <c r="Q32" i="6"/>
  <c r="R32" i="6"/>
  <c r="S31" i="6"/>
  <c r="O13" i="15" s="1"/>
  <c r="L56" i="6"/>
  <c r="M31" i="6"/>
  <c r="L31" i="6"/>
  <c r="H32" i="6"/>
  <c r="I32" i="6"/>
  <c r="K32" i="6"/>
  <c r="F32" i="6"/>
  <c r="I14" i="15" s="1"/>
  <c r="L14" i="15" s="1"/>
  <c r="J32" i="6"/>
  <c r="G32" i="6"/>
  <c r="I40" i="15" s="1"/>
  <c r="L40" i="15" s="1"/>
  <c r="K57" i="6"/>
  <c r="J57" i="6"/>
  <c r="F57" i="6"/>
  <c r="S14" i="15" s="1"/>
  <c r="G57" i="6"/>
  <c r="S40" i="15" s="1"/>
  <c r="H57" i="6"/>
  <c r="I57" i="6"/>
  <c r="D58" i="6"/>
  <c r="C58" i="6"/>
  <c r="A35" i="6"/>
  <c r="C33" i="6"/>
  <c r="D33" i="6"/>
  <c r="A22" i="7"/>
  <c r="D21" i="7"/>
  <c r="Q39" i="15" l="1"/>
  <c r="AD39" i="15" s="1"/>
  <c r="T57" i="6"/>
  <c r="X40" i="15" s="1"/>
  <c r="Z39" i="15"/>
  <c r="AE39" i="15" s="1"/>
  <c r="Z13" i="15"/>
  <c r="AE13" i="15" s="1"/>
  <c r="Q13" i="15"/>
  <c r="AD13" i="15" s="1"/>
  <c r="S57" i="6"/>
  <c r="X14" i="15" s="1"/>
  <c r="AF31" i="6"/>
  <c r="N40" i="15"/>
  <c r="AC32" i="6"/>
  <c r="W58" i="6"/>
  <c r="O58" i="6"/>
  <c r="X58" i="6"/>
  <c r="P58" i="6"/>
  <c r="Y58" i="6"/>
  <c r="Q58" i="6"/>
  <c r="Z58" i="6"/>
  <c r="V15" i="15" s="1"/>
  <c r="R58" i="6"/>
  <c r="AA58" i="6"/>
  <c r="V41" i="15" s="1"/>
  <c r="V58" i="6"/>
  <c r="N14" i="15"/>
  <c r="AB32" i="6"/>
  <c r="AF56" i="6"/>
  <c r="AE56" i="6"/>
  <c r="AB57" i="6"/>
  <c r="W14" i="15"/>
  <c r="AC57" i="6"/>
  <c r="W40" i="15"/>
  <c r="V33" i="6"/>
  <c r="W33" i="6"/>
  <c r="X33" i="6"/>
  <c r="Z33" i="6"/>
  <c r="M15" i="15" s="1"/>
  <c r="AA33" i="6"/>
  <c r="M41" i="15" s="1"/>
  <c r="Y33" i="6"/>
  <c r="AE31" i="6"/>
  <c r="U40" i="15"/>
  <c r="U14" i="15"/>
  <c r="M32" i="6"/>
  <c r="T32" i="6"/>
  <c r="O40" i="15" s="1"/>
  <c r="P33" i="6"/>
  <c r="Q33" i="6"/>
  <c r="R33" i="6"/>
  <c r="O33" i="6"/>
  <c r="S32" i="6"/>
  <c r="O14" i="15" s="1"/>
  <c r="M57" i="6"/>
  <c r="F33" i="6"/>
  <c r="I15" i="15" s="1"/>
  <c r="L15" i="15" s="1"/>
  <c r="J33" i="6"/>
  <c r="G33" i="6"/>
  <c r="I41" i="15" s="1"/>
  <c r="K33" i="6"/>
  <c r="L57" i="6"/>
  <c r="H58" i="6"/>
  <c r="I58" i="6"/>
  <c r="H33" i="6"/>
  <c r="I33" i="6"/>
  <c r="G58" i="6"/>
  <c r="S41" i="15" s="1"/>
  <c r="F58" i="6"/>
  <c r="S15" i="15" s="1"/>
  <c r="U15" i="15" s="1"/>
  <c r="K58" i="6"/>
  <c r="J58" i="6"/>
  <c r="L32" i="6"/>
  <c r="D59" i="6"/>
  <c r="C59" i="6"/>
  <c r="A36" i="6"/>
  <c r="C34" i="6"/>
  <c r="D34" i="6"/>
  <c r="A23" i="7"/>
  <c r="D22" i="7"/>
  <c r="Q40" i="15" l="1"/>
  <c r="AD40" i="15" s="1"/>
  <c r="S58" i="6"/>
  <c r="X15" i="15" s="1"/>
  <c r="W41" i="15"/>
  <c r="Z40" i="15"/>
  <c r="AE40" i="15" s="1"/>
  <c r="T58" i="6"/>
  <c r="X41" i="15" s="1"/>
  <c r="AE32" i="6"/>
  <c r="Q14" i="15"/>
  <c r="AD14" i="15" s="1"/>
  <c r="AC58" i="6"/>
  <c r="AF57" i="6"/>
  <c r="Z14" i="15"/>
  <c r="AE14" i="15" s="1"/>
  <c r="AE57" i="6"/>
  <c r="L41" i="15"/>
  <c r="AB58" i="6"/>
  <c r="W15" i="15"/>
  <c r="Z15" i="15" s="1"/>
  <c r="AE15" i="15" s="1"/>
  <c r="AF32" i="6"/>
  <c r="U41" i="15"/>
  <c r="Z41" i="15" s="1"/>
  <c r="AE41" i="15" s="1"/>
  <c r="S33" i="6"/>
  <c r="O15" i="15" s="1"/>
  <c r="N41" i="15"/>
  <c r="AC33" i="6"/>
  <c r="Y59" i="6"/>
  <c r="R59" i="6"/>
  <c r="Z59" i="6"/>
  <c r="V16" i="15" s="1"/>
  <c r="AA59" i="6"/>
  <c r="V42" i="15" s="1"/>
  <c r="W59" i="6"/>
  <c r="P59" i="6"/>
  <c r="O59" i="6"/>
  <c r="Q59" i="6"/>
  <c r="V59" i="6"/>
  <c r="X59" i="6"/>
  <c r="X34" i="6"/>
  <c r="V34" i="6"/>
  <c r="W34" i="6"/>
  <c r="Z34" i="6"/>
  <c r="M16" i="15" s="1"/>
  <c r="Y34" i="6"/>
  <c r="AA34" i="6"/>
  <c r="M42" i="15" s="1"/>
  <c r="N15" i="15"/>
  <c r="AB33" i="6"/>
  <c r="M58" i="6"/>
  <c r="T33" i="6"/>
  <c r="O41" i="15" s="1"/>
  <c r="L58" i="6"/>
  <c r="R34" i="6"/>
  <c r="O34" i="6"/>
  <c r="P34" i="6"/>
  <c r="Q34" i="6"/>
  <c r="J59" i="6"/>
  <c r="K59" i="6"/>
  <c r="F59" i="6"/>
  <c r="S16" i="15" s="1"/>
  <c r="U16" i="15" s="1"/>
  <c r="G59" i="6"/>
  <c r="S42" i="15" s="1"/>
  <c r="U42" i="15" s="1"/>
  <c r="H34" i="6"/>
  <c r="I34" i="6"/>
  <c r="L33" i="6"/>
  <c r="I59" i="6"/>
  <c r="H59" i="6"/>
  <c r="M33" i="6"/>
  <c r="K34" i="6"/>
  <c r="G34" i="6"/>
  <c r="I42" i="15" s="1"/>
  <c r="L42" i="15" s="1"/>
  <c r="F34" i="6"/>
  <c r="I16" i="15" s="1"/>
  <c r="J34" i="6"/>
  <c r="C35" i="6"/>
  <c r="D35" i="6"/>
  <c r="C60" i="6"/>
  <c r="D60" i="6"/>
  <c r="A37" i="6"/>
  <c r="A24" i="7"/>
  <c r="D23" i="7"/>
  <c r="AF58" i="6" l="1"/>
  <c r="Q41" i="15"/>
  <c r="AD41" i="15" s="1"/>
  <c r="T59" i="6"/>
  <c r="X42" i="15" s="1"/>
  <c r="Q15" i="15"/>
  <c r="AD15" i="15" s="1"/>
  <c r="T34" i="6"/>
  <c r="O42" i="15" s="1"/>
  <c r="L16" i="15"/>
  <c r="AE33" i="6"/>
  <c r="S59" i="6"/>
  <c r="X16" i="15" s="1"/>
  <c r="Y60" i="6"/>
  <c r="R60" i="6"/>
  <c r="Z60" i="6"/>
  <c r="V17" i="15" s="1"/>
  <c r="O60" i="6"/>
  <c r="AA60" i="6"/>
  <c r="V43" i="15" s="1"/>
  <c r="P60" i="6"/>
  <c r="Q60" i="6"/>
  <c r="W60" i="6"/>
  <c r="X60" i="6"/>
  <c r="V60" i="6"/>
  <c r="AC34" i="6"/>
  <c r="N42" i="15"/>
  <c r="W42" i="15"/>
  <c r="Z42" i="15" s="1"/>
  <c r="AE42" i="15" s="1"/>
  <c r="AC59" i="6"/>
  <c r="L34" i="6"/>
  <c r="AB34" i="6"/>
  <c r="AE34" i="6" s="1"/>
  <c r="N16" i="15"/>
  <c r="V35" i="6"/>
  <c r="Z35" i="6"/>
  <c r="M17" i="15" s="1"/>
  <c r="W35" i="6"/>
  <c r="X35" i="6"/>
  <c r="Y35" i="6"/>
  <c r="AA35" i="6"/>
  <c r="M43" i="15" s="1"/>
  <c r="AF33" i="6"/>
  <c r="AE58" i="6"/>
  <c r="W16" i="15"/>
  <c r="AB59" i="6"/>
  <c r="S34" i="6"/>
  <c r="O16" i="15" s="1"/>
  <c r="P35" i="6"/>
  <c r="Q35" i="6"/>
  <c r="R35" i="6"/>
  <c r="O35" i="6"/>
  <c r="M34" i="6"/>
  <c r="F60" i="6"/>
  <c r="S17" i="15" s="1"/>
  <c r="U17" i="15" s="1"/>
  <c r="G60" i="6"/>
  <c r="S43" i="15" s="1"/>
  <c r="U43" i="15" s="1"/>
  <c r="J60" i="6"/>
  <c r="K60" i="6"/>
  <c r="H60" i="6"/>
  <c r="I60" i="6"/>
  <c r="F35" i="6"/>
  <c r="I17" i="15" s="1"/>
  <c r="L17" i="15" s="1"/>
  <c r="G35" i="6"/>
  <c r="I43" i="15" s="1"/>
  <c r="L43" i="15" s="1"/>
  <c r="J35" i="6"/>
  <c r="K35" i="6"/>
  <c r="H35" i="6"/>
  <c r="I35" i="6"/>
  <c r="L59" i="6"/>
  <c r="M59" i="6"/>
  <c r="A38" i="6"/>
  <c r="D36" i="6"/>
  <c r="C36" i="6"/>
  <c r="C61" i="6"/>
  <c r="D61" i="6"/>
  <c r="A25" i="7"/>
  <c r="D24" i="7"/>
  <c r="Q42" i="15" l="1"/>
  <c r="AD42" i="15" s="1"/>
  <c r="Q16" i="15"/>
  <c r="AD16" i="15" s="1"/>
  <c r="Z16" i="15"/>
  <c r="AE16" i="15" s="1"/>
  <c r="AF34" i="6"/>
  <c r="S35" i="6"/>
  <c r="O17" i="15" s="1"/>
  <c r="N17" i="15"/>
  <c r="AB35" i="6"/>
  <c r="W17" i="15"/>
  <c r="AB60" i="6"/>
  <c r="W61" i="6"/>
  <c r="Q61" i="6"/>
  <c r="X61" i="6"/>
  <c r="R61" i="6"/>
  <c r="AA61" i="6"/>
  <c r="V44" i="15" s="1"/>
  <c r="Y61" i="6"/>
  <c r="Z61" i="6"/>
  <c r="V18" i="15" s="1"/>
  <c r="O61" i="6"/>
  <c r="V61" i="6"/>
  <c r="P61" i="6"/>
  <c r="W43" i="15"/>
  <c r="AC60" i="6"/>
  <c r="AE59" i="6"/>
  <c r="AF59" i="6"/>
  <c r="T60" i="6"/>
  <c r="X43" i="15" s="1"/>
  <c r="L35" i="6"/>
  <c r="N43" i="15"/>
  <c r="AC35" i="6"/>
  <c r="V36" i="6"/>
  <c r="W36" i="6"/>
  <c r="X36" i="6"/>
  <c r="Z36" i="6"/>
  <c r="M18" i="15" s="1"/>
  <c r="Y36" i="6"/>
  <c r="AA36" i="6"/>
  <c r="M44" i="15" s="1"/>
  <c r="S60" i="6"/>
  <c r="X17" i="15" s="1"/>
  <c r="O36" i="6"/>
  <c r="P36" i="6"/>
  <c r="Q36" i="6"/>
  <c r="R36" i="6"/>
  <c r="M35" i="6"/>
  <c r="T35" i="6"/>
  <c r="O43" i="15" s="1"/>
  <c r="H36" i="6"/>
  <c r="I36" i="6"/>
  <c r="J36" i="6"/>
  <c r="K36" i="6"/>
  <c r="F36" i="6"/>
  <c r="I18" i="15" s="1"/>
  <c r="L18" i="15" s="1"/>
  <c r="G36" i="6"/>
  <c r="M60" i="6"/>
  <c r="L60" i="6"/>
  <c r="F61" i="6"/>
  <c r="S18" i="15" s="1"/>
  <c r="J61" i="6"/>
  <c r="G61" i="6"/>
  <c r="S44" i="15" s="1"/>
  <c r="K61" i="6"/>
  <c r="I61" i="6"/>
  <c r="H61" i="6"/>
  <c r="D37" i="6"/>
  <c r="C37" i="6"/>
  <c r="C62" i="6"/>
  <c r="D62" i="6"/>
  <c r="A39" i="6"/>
  <c r="A26" i="7"/>
  <c r="D25" i="7"/>
  <c r="Z17" i="15" l="1"/>
  <c r="AE17" i="15" s="1"/>
  <c r="AF60" i="6"/>
  <c r="Q17" i="15"/>
  <c r="AD17" i="15" s="1"/>
  <c r="AB61" i="6"/>
  <c r="S61" i="6"/>
  <c r="X18" i="15" s="1"/>
  <c r="AE60" i="6"/>
  <c r="Z43" i="15"/>
  <c r="AE43" i="15" s="1"/>
  <c r="Q43" i="15"/>
  <c r="AD43" i="15" s="1"/>
  <c r="T61" i="6"/>
  <c r="X44" i="15" s="1"/>
  <c r="V37" i="6"/>
  <c r="W37" i="6"/>
  <c r="Z37" i="6"/>
  <c r="M19" i="15" s="1"/>
  <c r="X37" i="6"/>
  <c r="Y37" i="6"/>
  <c r="AA37" i="6"/>
  <c r="M45" i="15" s="1"/>
  <c r="N44" i="15"/>
  <c r="AC36" i="6"/>
  <c r="U18" i="15"/>
  <c r="W18" i="15"/>
  <c r="U44" i="15"/>
  <c r="N18" i="15"/>
  <c r="AB36" i="6"/>
  <c r="AE35" i="6"/>
  <c r="AC61" i="6"/>
  <c r="W44" i="15"/>
  <c r="M36" i="6"/>
  <c r="I44" i="15"/>
  <c r="L44" i="15" s="1"/>
  <c r="Y62" i="6"/>
  <c r="Z62" i="6"/>
  <c r="V19" i="15" s="1"/>
  <c r="AA62" i="6"/>
  <c r="V45" i="15" s="1"/>
  <c r="O62" i="6"/>
  <c r="Q62" i="6"/>
  <c r="P62" i="6"/>
  <c r="W62" i="6"/>
  <c r="V62" i="6"/>
  <c r="R62" i="6"/>
  <c r="X62" i="6"/>
  <c r="AF35" i="6"/>
  <c r="L36" i="6"/>
  <c r="O37" i="6"/>
  <c r="P37" i="6"/>
  <c r="R37" i="6"/>
  <c r="Q37" i="6"/>
  <c r="S36" i="6"/>
  <c r="O18" i="15" s="1"/>
  <c r="T36" i="6"/>
  <c r="O44" i="15" s="1"/>
  <c r="H37" i="6"/>
  <c r="I37" i="6"/>
  <c r="F37" i="6"/>
  <c r="I19" i="15" s="1"/>
  <c r="L19" i="15" s="1"/>
  <c r="G37" i="6"/>
  <c r="I45" i="15" s="1"/>
  <c r="L45" i="15" s="1"/>
  <c r="J37" i="6"/>
  <c r="K37" i="6"/>
  <c r="H62" i="6"/>
  <c r="I62" i="6"/>
  <c r="M61" i="6"/>
  <c r="L61" i="6"/>
  <c r="AE61" i="6" s="1"/>
  <c r="K62" i="6"/>
  <c r="F62" i="6"/>
  <c r="S19" i="15" s="1"/>
  <c r="U19" i="15" s="1"/>
  <c r="G62" i="6"/>
  <c r="S45" i="15" s="1"/>
  <c r="U45" i="15" s="1"/>
  <c r="J62" i="6"/>
  <c r="A40" i="6"/>
  <c r="D63" i="6"/>
  <c r="C63" i="6"/>
  <c r="D38" i="6"/>
  <c r="C38" i="6"/>
  <c r="A27" i="7"/>
  <c r="D26" i="7"/>
  <c r="Z44" i="15" l="1"/>
  <c r="AE44" i="15" s="1"/>
  <c r="Z18" i="15"/>
  <c r="AE18" i="15" s="1"/>
  <c r="Q18" i="15"/>
  <c r="AD18" i="15" s="1"/>
  <c r="AF61" i="6"/>
  <c r="AB62" i="6"/>
  <c r="W19" i="15"/>
  <c r="T62" i="6"/>
  <c r="X45" i="15" s="1"/>
  <c r="S62" i="6"/>
  <c r="AC37" i="6"/>
  <c r="N45" i="15"/>
  <c r="Q44" i="15"/>
  <c r="AD44" i="15" s="1"/>
  <c r="AC62" i="6"/>
  <c r="W45" i="15"/>
  <c r="X38" i="6"/>
  <c r="Y38" i="6"/>
  <c r="Z38" i="6"/>
  <c r="M20" i="15" s="1"/>
  <c r="AA38" i="6"/>
  <c r="M46" i="15" s="1"/>
  <c r="V38" i="6"/>
  <c r="W38" i="6"/>
  <c r="AA63" i="6"/>
  <c r="V46" i="15" s="1"/>
  <c r="P63" i="6"/>
  <c r="Q63" i="6"/>
  <c r="R63" i="6"/>
  <c r="W63" i="6"/>
  <c r="V63" i="6"/>
  <c r="Y63" i="6"/>
  <c r="X63" i="6"/>
  <c r="Z63" i="6"/>
  <c r="V20" i="15" s="1"/>
  <c r="O63" i="6"/>
  <c r="AE36" i="6"/>
  <c r="AF36" i="6"/>
  <c r="AB37" i="6"/>
  <c r="N19" i="15"/>
  <c r="T37" i="6"/>
  <c r="O45" i="15" s="1"/>
  <c r="Q45" i="15" s="1"/>
  <c r="AD45" i="15" s="1"/>
  <c r="L62" i="6"/>
  <c r="P38" i="6"/>
  <c r="Q38" i="6"/>
  <c r="R38" i="6"/>
  <c r="O38" i="6"/>
  <c r="S37" i="6"/>
  <c r="O19" i="15" s="1"/>
  <c r="M62" i="6"/>
  <c r="I38" i="6"/>
  <c r="H38" i="6"/>
  <c r="J38" i="6"/>
  <c r="K38" i="6"/>
  <c r="G38" i="6"/>
  <c r="I46" i="15" s="1"/>
  <c r="L46" i="15" s="1"/>
  <c r="F38" i="6"/>
  <c r="I20" i="15" s="1"/>
  <c r="H63" i="6"/>
  <c r="I63" i="6"/>
  <c r="M37" i="6"/>
  <c r="G63" i="6"/>
  <c r="S46" i="15" s="1"/>
  <c r="F63" i="6"/>
  <c r="S20" i="15" s="1"/>
  <c r="U20" i="15" s="1"/>
  <c r="J63" i="6"/>
  <c r="K63" i="6"/>
  <c r="L37" i="6"/>
  <c r="C39" i="6"/>
  <c r="D39" i="6"/>
  <c r="D64" i="6"/>
  <c r="C64" i="6"/>
  <c r="A41" i="6"/>
  <c r="A28" i="7"/>
  <c r="A29" i="7" s="1"/>
  <c r="D27" i="7"/>
  <c r="S38" i="6" l="1"/>
  <c r="O20" i="15" s="1"/>
  <c r="Q19" i="15"/>
  <c r="AD19" i="15" s="1"/>
  <c r="Z45" i="15"/>
  <c r="AE45" i="15" s="1"/>
  <c r="AF62" i="6"/>
  <c r="S63" i="6"/>
  <c r="X20" i="15" s="1"/>
  <c r="X19" i="15"/>
  <c r="Z19" i="15" s="1"/>
  <c r="AE19" i="15" s="1"/>
  <c r="U46" i="15"/>
  <c r="V64" i="6"/>
  <c r="W64" i="6"/>
  <c r="X64" i="6"/>
  <c r="O64" i="6"/>
  <c r="Y64" i="6"/>
  <c r="P64" i="6"/>
  <c r="AA64" i="6"/>
  <c r="V47" i="15" s="1"/>
  <c r="R64" i="6"/>
  <c r="Z64" i="6"/>
  <c r="V21" i="15" s="1"/>
  <c r="Q64" i="6"/>
  <c r="N46" i="15"/>
  <c r="AC38" i="6"/>
  <c r="X39" i="6"/>
  <c r="Y39" i="6"/>
  <c r="Z39" i="6"/>
  <c r="M21" i="15" s="1"/>
  <c r="AA39" i="6"/>
  <c r="M47" i="15" s="1"/>
  <c r="V39" i="6"/>
  <c r="W39" i="6"/>
  <c r="AB63" i="6"/>
  <c r="W20" i="15"/>
  <c r="N20" i="15"/>
  <c r="AB38" i="6"/>
  <c r="L20" i="15"/>
  <c r="T63" i="6"/>
  <c r="X46" i="15" s="1"/>
  <c r="AE37" i="6"/>
  <c r="AC63" i="6"/>
  <c r="W46" i="15"/>
  <c r="AF37" i="6"/>
  <c r="AE62" i="6"/>
  <c r="M63" i="6"/>
  <c r="T38" i="6"/>
  <c r="O46" i="15" s="1"/>
  <c r="R39" i="6"/>
  <c r="O39" i="6"/>
  <c r="P39" i="6"/>
  <c r="Q39" i="6"/>
  <c r="M38" i="6"/>
  <c r="J64" i="6"/>
  <c r="K64" i="6"/>
  <c r="F64" i="6"/>
  <c r="S21" i="15" s="1"/>
  <c r="U21" i="15" s="1"/>
  <c r="G64" i="6"/>
  <c r="S47" i="15" s="1"/>
  <c r="U47" i="15" s="1"/>
  <c r="L63" i="6"/>
  <c r="H39" i="6"/>
  <c r="I39" i="6"/>
  <c r="L38" i="6"/>
  <c r="I64" i="6"/>
  <c r="H64" i="6"/>
  <c r="G39" i="6"/>
  <c r="I47" i="15" s="1"/>
  <c r="L47" i="15" s="1"/>
  <c r="F39" i="6"/>
  <c r="I21" i="15" s="1"/>
  <c r="L21" i="15" s="1"/>
  <c r="K39" i="6"/>
  <c r="J39" i="6"/>
  <c r="A42" i="6"/>
  <c r="D65" i="6"/>
  <c r="C65" i="6"/>
  <c r="D40" i="6"/>
  <c r="C40" i="6"/>
  <c r="A30" i="7"/>
  <c r="D30" i="7" s="1"/>
  <c r="D29" i="7"/>
  <c r="D28" i="7"/>
  <c r="D31" i="7" s="1"/>
  <c r="C11" i="8" l="1"/>
  <c r="C23" i="8"/>
  <c r="Q20" i="15"/>
  <c r="AD20" i="15" s="1"/>
  <c r="Z20" i="15"/>
  <c r="AE20" i="15" s="1"/>
  <c r="AE63" i="6"/>
  <c r="Q46" i="15"/>
  <c r="AD46" i="15" s="1"/>
  <c r="Z46" i="15"/>
  <c r="AE46" i="15" s="1"/>
  <c r="S64" i="6"/>
  <c r="X21" i="15" s="1"/>
  <c r="Z21" i="15" s="1"/>
  <c r="AE21" i="15" s="1"/>
  <c r="N21" i="15"/>
  <c r="AB39" i="6"/>
  <c r="AB64" i="6"/>
  <c r="W21" i="15"/>
  <c r="Y40" i="6"/>
  <c r="Z40" i="6"/>
  <c r="M22" i="15" s="1"/>
  <c r="AA40" i="6"/>
  <c r="M48" i="15" s="1"/>
  <c r="W40" i="6"/>
  <c r="X40" i="6"/>
  <c r="V40" i="6"/>
  <c r="AE38" i="6"/>
  <c r="T64" i="6"/>
  <c r="X47" i="15" s="1"/>
  <c r="W65" i="6"/>
  <c r="O65" i="6"/>
  <c r="X65" i="6"/>
  <c r="P65" i="6"/>
  <c r="AA65" i="6"/>
  <c r="V48" i="15" s="1"/>
  <c r="Y65" i="6"/>
  <c r="Q65" i="6"/>
  <c r="Z65" i="6"/>
  <c r="V22" i="15" s="1"/>
  <c r="R65" i="6"/>
  <c r="V65" i="6"/>
  <c r="AF38" i="6"/>
  <c r="T39" i="6"/>
  <c r="O47" i="15" s="1"/>
  <c r="AF63" i="6"/>
  <c r="AC64" i="6"/>
  <c r="AC39" i="6"/>
  <c r="N47" i="15"/>
  <c r="W47" i="15"/>
  <c r="L39" i="6"/>
  <c r="M39" i="6"/>
  <c r="S39" i="6"/>
  <c r="O21" i="15" s="1"/>
  <c r="R40" i="6"/>
  <c r="Q40" i="6"/>
  <c r="O40" i="6"/>
  <c r="P40" i="6"/>
  <c r="H65" i="6"/>
  <c r="I65" i="6"/>
  <c r="K40" i="6"/>
  <c r="F40" i="6"/>
  <c r="I22" i="15" s="1"/>
  <c r="L22" i="15" s="1"/>
  <c r="J40" i="6"/>
  <c r="G40" i="6"/>
  <c r="I48" i="15" s="1"/>
  <c r="L48" i="15" s="1"/>
  <c r="M64" i="6"/>
  <c r="L64" i="6"/>
  <c r="G65" i="6"/>
  <c r="S48" i="15" s="1"/>
  <c r="U48" i="15" s="1"/>
  <c r="F65" i="6"/>
  <c r="S22" i="15" s="1"/>
  <c r="U22" i="15" s="1"/>
  <c r="K65" i="6"/>
  <c r="J65" i="6"/>
  <c r="H40" i="6"/>
  <c r="I40" i="6"/>
  <c r="D41" i="6"/>
  <c r="C41" i="6"/>
  <c r="D66" i="6"/>
  <c r="C66" i="6"/>
  <c r="C5" i="8"/>
  <c r="Z47" i="15" l="1"/>
  <c r="AE47" i="15" s="1"/>
  <c r="Q21" i="15"/>
  <c r="AD21" i="15" s="1"/>
  <c r="Q47" i="15"/>
  <c r="AD47" i="15" s="1"/>
  <c r="AF39" i="6"/>
  <c r="S65" i="6"/>
  <c r="X22" i="15" s="1"/>
  <c r="W22" i="15"/>
  <c r="AB65" i="6"/>
  <c r="W66" i="6"/>
  <c r="O66" i="6"/>
  <c r="X66" i="6"/>
  <c r="Y66" i="6"/>
  <c r="AA66" i="6"/>
  <c r="V49" i="15" s="1"/>
  <c r="Z66" i="6"/>
  <c r="V23" i="15" s="1"/>
  <c r="Q66" i="6"/>
  <c r="V66" i="6"/>
  <c r="P66" i="6"/>
  <c r="R66" i="6"/>
  <c r="AF64" i="6"/>
  <c r="AE39" i="6"/>
  <c r="AE64" i="6"/>
  <c r="W48" i="15"/>
  <c r="AC65" i="6"/>
  <c r="AB40" i="6"/>
  <c r="N22" i="15"/>
  <c r="AA41" i="6"/>
  <c r="M49" i="15" s="1"/>
  <c r="W41" i="6"/>
  <c r="V41" i="6"/>
  <c r="Y41" i="6"/>
  <c r="Z41" i="6"/>
  <c r="M23" i="15" s="1"/>
  <c r="X41" i="6"/>
  <c r="T40" i="6"/>
  <c r="O48" i="15" s="1"/>
  <c r="T65" i="6"/>
  <c r="X48" i="15" s="1"/>
  <c r="Z48" i="15" s="1"/>
  <c r="AE48" i="15" s="1"/>
  <c r="S40" i="6"/>
  <c r="O22" i="15" s="1"/>
  <c r="AC40" i="6"/>
  <c r="N48" i="15"/>
  <c r="R41" i="6"/>
  <c r="O41" i="6"/>
  <c r="P41" i="6"/>
  <c r="Q41" i="6"/>
  <c r="M40" i="6"/>
  <c r="H66" i="6"/>
  <c r="I66" i="6"/>
  <c r="L65" i="6"/>
  <c r="J66" i="6"/>
  <c r="K66" i="6"/>
  <c r="F66" i="6"/>
  <c r="G66" i="6"/>
  <c r="S49" i="15" s="1"/>
  <c r="U49" i="15" s="1"/>
  <c r="H41" i="6"/>
  <c r="I41" i="6"/>
  <c r="F41" i="6"/>
  <c r="I23" i="15" s="1"/>
  <c r="L23" i="15" s="1"/>
  <c r="G41" i="6"/>
  <c r="I49" i="15" s="1"/>
  <c r="L49" i="15" s="1"/>
  <c r="J41" i="6"/>
  <c r="K41" i="6"/>
  <c r="M65" i="6"/>
  <c r="L40" i="6"/>
  <c r="D67" i="6"/>
  <c r="C67" i="6"/>
  <c r="B68" i="6"/>
  <c r="C42" i="6"/>
  <c r="D42" i="6"/>
  <c r="B43" i="6"/>
  <c r="Z22" i="15" l="1"/>
  <c r="AE22" i="15" s="1"/>
  <c r="T41" i="6"/>
  <c r="O49" i="15" s="1"/>
  <c r="T66" i="6"/>
  <c r="X49" i="15" s="1"/>
  <c r="Q22" i="15"/>
  <c r="AD22" i="15" s="1"/>
  <c r="Q48" i="15"/>
  <c r="AD48" i="15" s="1"/>
  <c r="S66" i="6"/>
  <c r="Y67" i="6"/>
  <c r="Y68" i="6" s="1"/>
  <c r="V67" i="6"/>
  <c r="O67" i="6"/>
  <c r="R67" i="6"/>
  <c r="R68" i="6" s="1"/>
  <c r="W67" i="6"/>
  <c r="P67" i="6"/>
  <c r="X67" i="6"/>
  <c r="X68" i="6" s="1"/>
  <c r="Q67" i="6"/>
  <c r="Q68" i="6" s="1"/>
  <c r="AA67" i="6"/>
  <c r="Z67" i="6"/>
  <c r="AE40" i="6"/>
  <c r="W49" i="15"/>
  <c r="AC66" i="6"/>
  <c r="AA42" i="6"/>
  <c r="W42" i="6"/>
  <c r="V42" i="6"/>
  <c r="Y42" i="6"/>
  <c r="Y43" i="6" s="1"/>
  <c r="Z42" i="6"/>
  <c r="X42" i="6"/>
  <c r="X43" i="6" s="1"/>
  <c r="AF65" i="6"/>
  <c r="W23" i="15"/>
  <c r="AB66" i="6"/>
  <c r="AF40" i="6"/>
  <c r="N23" i="15"/>
  <c r="AB41" i="6"/>
  <c r="AE65" i="6"/>
  <c r="L66" i="6"/>
  <c r="S23" i="15"/>
  <c r="U23" i="15" s="1"/>
  <c r="N49" i="15"/>
  <c r="AC41" i="6"/>
  <c r="M41" i="6"/>
  <c r="S41" i="6"/>
  <c r="O23" i="15" s="1"/>
  <c r="P42" i="6"/>
  <c r="Q42" i="6"/>
  <c r="Q43" i="6" s="1"/>
  <c r="O42" i="6"/>
  <c r="R42" i="6"/>
  <c r="R43" i="6" s="1"/>
  <c r="M66" i="6"/>
  <c r="K42" i="6"/>
  <c r="K43" i="6" s="1"/>
  <c r="G42" i="6"/>
  <c r="I50" i="15" s="1"/>
  <c r="J42" i="6"/>
  <c r="J43" i="6" s="1"/>
  <c r="F42" i="6"/>
  <c r="I24" i="15" s="1"/>
  <c r="H67" i="6"/>
  <c r="H68" i="6" s="1"/>
  <c r="I67" i="6"/>
  <c r="I68" i="6" s="1"/>
  <c r="H42" i="6"/>
  <c r="H43" i="6" s="1"/>
  <c r="I42" i="6"/>
  <c r="I43" i="6" s="1"/>
  <c r="L41" i="6"/>
  <c r="F67" i="6"/>
  <c r="S24" i="15" s="1"/>
  <c r="K67" i="6"/>
  <c r="K68" i="6" s="1"/>
  <c r="G67" i="6"/>
  <c r="S50" i="15" s="1"/>
  <c r="J67" i="6"/>
  <c r="J68" i="6" s="1"/>
  <c r="D43" i="6"/>
  <c r="C68" i="6"/>
  <c r="C43" i="6"/>
  <c r="D68" i="6"/>
  <c r="Z49" i="15" l="1"/>
  <c r="AE49" i="15" s="1"/>
  <c r="AE66" i="6"/>
  <c r="S67" i="6"/>
  <c r="X24" i="15" s="1"/>
  <c r="Q49" i="15"/>
  <c r="AD49" i="15" s="1"/>
  <c r="Q23" i="15"/>
  <c r="AD23" i="15" s="1"/>
  <c r="AE41" i="6"/>
  <c r="M24" i="15"/>
  <c r="M25" i="15" s="1"/>
  <c r="Z43" i="6"/>
  <c r="V24" i="15"/>
  <c r="V25" i="15" s="1"/>
  <c r="Z68" i="6"/>
  <c r="AB67" i="6"/>
  <c r="W24" i="15"/>
  <c r="W25" i="15" s="1"/>
  <c r="V68" i="6"/>
  <c r="AC67" i="6"/>
  <c r="W50" i="15"/>
  <c r="W51" i="15" s="1"/>
  <c r="W68" i="6"/>
  <c r="U24" i="15"/>
  <c r="S25" i="15"/>
  <c r="L50" i="15"/>
  <c r="I51" i="15"/>
  <c r="V50" i="15"/>
  <c r="V51" i="15" s="1"/>
  <c r="AA68" i="6"/>
  <c r="AF41" i="6"/>
  <c r="N24" i="15"/>
  <c r="N25" i="15" s="1"/>
  <c r="AB42" i="6"/>
  <c r="V43" i="6"/>
  <c r="O68" i="6"/>
  <c r="L24" i="15"/>
  <c r="I25" i="15"/>
  <c r="AF66" i="6"/>
  <c r="AC42" i="6"/>
  <c r="AC43" i="6" s="1"/>
  <c r="N50" i="15"/>
  <c r="N51" i="15" s="1"/>
  <c r="W43" i="6"/>
  <c r="X23" i="15"/>
  <c r="Z23" i="15" s="1"/>
  <c r="AE23" i="15" s="1"/>
  <c r="S68" i="6"/>
  <c r="U50" i="15"/>
  <c r="S51" i="15"/>
  <c r="M50" i="15"/>
  <c r="M51" i="15" s="1"/>
  <c r="AA43" i="6"/>
  <c r="T67" i="6"/>
  <c r="X50" i="15" s="1"/>
  <c r="X51" i="15" s="1"/>
  <c r="P68" i="6"/>
  <c r="S42" i="6"/>
  <c r="O43" i="6"/>
  <c r="T42" i="6"/>
  <c r="O50" i="15" s="1"/>
  <c r="O51" i="15" s="1"/>
  <c r="P43" i="6"/>
  <c r="M67" i="6"/>
  <c r="M68" i="6" s="1"/>
  <c r="G68" i="6"/>
  <c r="L67" i="6"/>
  <c r="L68" i="6" s="1"/>
  <c r="F68" i="6"/>
  <c r="L42" i="6"/>
  <c r="L43" i="6" s="1"/>
  <c r="F43" i="6"/>
  <c r="M42" i="6"/>
  <c r="M43" i="6" s="1"/>
  <c r="G43" i="6"/>
  <c r="AC68" i="6"/>
  <c r="T43" i="6" l="1"/>
  <c r="AF43" i="6" s="1"/>
  <c r="C4" i="8" s="1"/>
  <c r="T68" i="6"/>
  <c r="Q50" i="15"/>
  <c r="L51" i="15"/>
  <c r="AE42" i="6"/>
  <c r="AB43" i="6"/>
  <c r="Z24" i="15"/>
  <c r="U25" i="15"/>
  <c r="S43" i="6"/>
  <c r="O24" i="15"/>
  <c r="O25" i="15" s="1"/>
  <c r="AE67" i="6"/>
  <c r="AE68" i="6" s="1"/>
  <c r="AB68" i="6"/>
  <c r="AF42" i="6"/>
  <c r="X25" i="15"/>
  <c r="AF67" i="6"/>
  <c r="AF68" i="6" s="1"/>
  <c r="C17" i="8" s="1"/>
  <c r="Z50" i="15"/>
  <c r="U51" i="15"/>
  <c r="L25" i="15"/>
  <c r="B9" i="13"/>
  <c r="AE24" i="15" l="1"/>
  <c r="Z25" i="15"/>
  <c r="AE43" i="6"/>
  <c r="AE50" i="15"/>
  <c r="Z51" i="15"/>
  <c r="AE51" i="15" s="1"/>
  <c r="AE53" i="15" s="1"/>
  <c r="Q24" i="15"/>
  <c r="AD50" i="15"/>
  <c r="Q51" i="15"/>
  <c r="AD51" i="15" s="1"/>
  <c r="AD53" i="15" s="1"/>
  <c r="AJ74" i="14"/>
  <c r="AJ94" i="14" s="1"/>
  <c r="O94" i="14"/>
  <c r="AD24" i="15" l="1"/>
  <c r="Q25" i="15"/>
  <c r="C18" i="8"/>
  <c r="C6" i="8"/>
  <c r="O121" i="14" l="1"/>
  <c r="C20" i="8" l="1"/>
  <c r="C8" i="8"/>
  <c r="C13" i="8" s="1"/>
  <c r="G25" i="15"/>
  <c r="C12" i="8" l="1"/>
  <c r="C25" i="8"/>
  <c r="C24" i="8"/>
  <c r="AD25" i="15"/>
  <c r="AE25" i="15"/>
</calcChain>
</file>

<file path=xl/sharedStrings.xml><?xml version="1.0" encoding="utf-8"?>
<sst xmlns="http://schemas.openxmlformats.org/spreadsheetml/2006/main" count="801" uniqueCount="392">
  <si>
    <t>Costs</t>
  </si>
  <si>
    <t xml:space="preserve">Assumptions </t>
  </si>
  <si>
    <t>Failure point of both docks = 2025 (do we include the rental fee for no-build 2024)</t>
  </si>
  <si>
    <t xml:space="preserve">CapEx -- need split </t>
  </si>
  <si>
    <t>OpEx begins</t>
  </si>
  <si>
    <t>Some will go by rail (Liquid) -- need %</t>
  </si>
  <si>
    <t>Rest will go by truck (Dry goods)</t>
  </si>
  <si>
    <t>Need miles of current distance by barge</t>
  </si>
  <si>
    <t xml:space="preserve">Benefits </t>
  </si>
  <si>
    <t>Need miles of new distance by rail</t>
  </si>
  <si>
    <t xml:space="preserve">Rail </t>
  </si>
  <si>
    <t xml:space="preserve">Need miles of new distance by truck </t>
  </si>
  <si>
    <t>Travel Time Savings</t>
  </si>
  <si>
    <t>Tons per rail car</t>
  </si>
  <si>
    <t>Fuel Savings</t>
  </si>
  <si>
    <t>34.15?</t>
  </si>
  <si>
    <t>Tons for truck</t>
  </si>
  <si>
    <t xml:space="preserve">Maintenance Savings </t>
  </si>
  <si>
    <t>Emissions Reductions</t>
  </si>
  <si>
    <t>Crash Reduction Benefits</t>
  </si>
  <si>
    <t>Truck</t>
  </si>
  <si>
    <t>Residual Value of Dock -- 20 years left at end of 30 year analysis period (50 year service life)</t>
  </si>
  <si>
    <t>Dry Material Only</t>
  </si>
  <si>
    <t>Discounted Benefits</t>
  </si>
  <si>
    <t>Barge</t>
  </si>
  <si>
    <t>Discounted Costs</t>
  </si>
  <si>
    <t>Capital</t>
  </si>
  <si>
    <t>Ratio</t>
  </si>
  <si>
    <t>Parameter</t>
  </si>
  <si>
    <t>Value</t>
  </si>
  <si>
    <t>Source</t>
  </si>
  <si>
    <t>Discount Rate</t>
  </si>
  <si>
    <t>Discount Rate (Carbon Emissions)</t>
  </si>
  <si>
    <t>Average NC cost of diesel fuel (2021$, net of fuel taxes)</t>
  </si>
  <si>
    <t>Seconds to hours conversion</t>
  </si>
  <si>
    <t>Grams to metric tons conversion</t>
  </si>
  <si>
    <t>Kilograms to metric tons conversion</t>
  </si>
  <si>
    <t>US tons to metric tons conversion</t>
  </si>
  <si>
    <t>Percent Rail</t>
  </si>
  <si>
    <t>Percent Truck</t>
  </si>
  <si>
    <t>Distance (miles)</t>
  </si>
  <si>
    <t>Time (minutes)</t>
  </si>
  <si>
    <t>Notes</t>
  </si>
  <si>
    <t>Rail</t>
  </si>
  <si>
    <t>Total</t>
  </si>
  <si>
    <t>FHWA Comprehensive Truck Size and Weight Study, updated; Bai, et al, Estimating Highway Pavement Costs Attributed to Truck Traffic, 2009.</t>
  </si>
  <si>
    <t>Safety</t>
  </si>
  <si>
    <t>PDO Crash</t>
  </si>
  <si>
    <t>Injury Crash</t>
  </si>
  <si>
    <t>Fatal Crash</t>
  </si>
  <si>
    <t>Value of Reduced Fatalities and Injuries</t>
  </si>
  <si>
    <t>KABCO Level</t>
  </si>
  <si>
    <t>O - No Injury</t>
  </si>
  <si>
    <t>C - Possible Injury</t>
  </si>
  <si>
    <t>B - Non-incapacitating</t>
  </si>
  <si>
    <t>A - Incapacitating</t>
  </si>
  <si>
    <t>K - Killed</t>
  </si>
  <si>
    <t>U - Injured (Severity Unknown)</t>
  </si>
  <si>
    <t>Source: USDOT 2023 BCA Guidance</t>
  </si>
  <si>
    <t>Number</t>
  </si>
  <si>
    <t>Percent</t>
  </si>
  <si>
    <t>Injury Only</t>
  </si>
  <si>
    <t>Fatality Only</t>
  </si>
  <si>
    <t>Injury and Fatality</t>
  </si>
  <si>
    <t>Fatal (number of fatalities, not crashes with fatalities)</t>
  </si>
  <si>
    <t>Crashes</t>
  </si>
  <si>
    <t>Percentage</t>
  </si>
  <si>
    <t>Injury (number of injuries, not crashes with injuries)</t>
  </si>
  <si>
    <t>Fatalities</t>
  </si>
  <si>
    <t>PDO (total number of crashes less crashes with a fatality or injury)</t>
  </si>
  <si>
    <t>Injuries</t>
  </si>
  <si>
    <t>N/A</t>
  </si>
  <si>
    <t>Weighted Cost per Crash</t>
  </si>
  <si>
    <t>Train Accidents by Type | FRA (dot.gov)</t>
  </si>
  <si>
    <t>Used detailed data table to pulled these figures.</t>
  </si>
  <si>
    <t>Crashes (2020)</t>
  </si>
  <si>
    <t>table_rail_profile_103122.xlsx (live.com)</t>
  </si>
  <si>
    <t>Inland Waterways</t>
  </si>
  <si>
    <t>Freight Barge, Tank Barge, and Tug/Towboat</t>
  </si>
  <si>
    <t>Safety Rates per ton-mile</t>
  </si>
  <si>
    <t>Year</t>
  </si>
  <si>
    <t>Internal ton-miles, Domestic Water Freight</t>
  </si>
  <si>
    <t>No more recent safety data available</t>
  </si>
  <si>
    <t>Conservative Value, Assume Highest Occurance</t>
  </si>
  <si>
    <t>https://www.bts.gov/topics/national-transportation-statistics</t>
  </si>
  <si>
    <t>Appendix D, Water Transport Profile, Safety information for 2002-2006 was the most recent five years of data available.</t>
  </si>
  <si>
    <t>Microsoft Word - TREDIS6_Data_Sources_and_Default_Values.docx</t>
  </si>
  <si>
    <t>Used for g/VMT. Data values for 2021 data are applied to all years of the BCA analysis</t>
  </si>
  <si>
    <t>CO2 Emissions Calculation</t>
  </si>
  <si>
    <t>CO2 pounds per gallon consumed (Diesel)</t>
  </si>
  <si>
    <t>pounds to grams</t>
  </si>
  <si>
    <t>TTI 2022 FINAL Report 2001-2019 1.pdf (nationalwaterwaysfoundation.org)</t>
  </si>
  <si>
    <t>CO2 grams per mile</t>
  </si>
  <si>
    <t>Emissions Savings Per Vehicle Mile Travelled (g/VMT)</t>
  </si>
  <si>
    <t>CO2</t>
  </si>
  <si>
    <t>NOX</t>
  </si>
  <si>
    <t>PM2.5</t>
  </si>
  <si>
    <t>SO2</t>
  </si>
  <si>
    <t>VOC</t>
  </si>
  <si>
    <t xml:space="preserve">Emissions Savings Per Mile (metric tons per vehicle VMT) </t>
  </si>
  <si>
    <t>Emissions values ($ per Metric ton)</t>
  </si>
  <si>
    <t>Source: TREDIS Data Sources and Default Values (2023); USDOT 2023 BCA Guidance</t>
  </si>
  <si>
    <t>Gallons per mile</t>
  </si>
  <si>
    <t>Emissions - Barge</t>
  </si>
  <si>
    <t>Assumed Barge Ton Miles per Gallon</t>
  </si>
  <si>
    <t>Barge Miles per Gallon (based on assumed Barge capacity and 3000 tons per trip)</t>
  </si>
  <si>
    <t>Spillage</t>
  </si>
  <si>
    <t>Not currently using this data. Can be used if ratio seems low.</t>
  </si>
  <si>
    <t>Spillage Rate</t>
  </si>
  <si>
    <t>Gallons/million ton-mile</t>
  </si>
  <si>
    <t xml:space="preserve">This source is no longer available. A 2017 study from TAMU is available to reference with slightly lower numbers. </t>
  </si>
  <si>
    <t>Source: National Waterways Foundation, Waterways: Better for the Environment, Better for Communities - January 2022</t>
  </si>
  <si>
    <t>http://www.nationalwaterwaysfoundation.org/NWF_2110662_PowerPointPresentation_FINAL_Smlcompressed.pptx</t>
  </si>
  <si>
    <t>Net Present Value (NPV)</t>
  </si>
  <si>
    <t>Inflation Adjustment</t>
  </si>
  <si>
    <t>Base Year</t>
  </si>
  <si>
    <t>Multiplier</t>
  </si>
  <si>
    <t>Table A-7, 2023 BCA Guidance</t>
  </si>
  <si>
    <t>Total Project Cost</t>
  </si>
  <si>
    <t>Estimated Project Costs</t>
  </si>
  <si>
    <t>Undiscounted Cost</t>
  </si>
  <si>
    <t>NPV</t>
  </si>
  <si>
    <t>Assumptions</t>
  </si>
  <si>
    <t>Truck Capacity (tons)</t>
  </si>
  <si>
    <t>Operators per Truck</t>
  </si>
  <si>
    <t>Hourly Truck Operator Cost</t>
  </si>
  <si>
    <t>PDO</t>
  </si>
  <si>
    <t>Injury</t>
  </si>
  <si>
    <t>Cost per VMT</t>
  </si>
  <si>
    <t>External Highway Use Costs</t>
  </si>
  <si>
    <t>Congestion</t>
  </si>
  <si>
    <t>Noise</t>
  </si>
  <si>
    <t>Non-CO2 Emission</t>
  </si>
  <si>
    <t>CO2 Emission</t>
  </si>
  <si>
    <t>Truck Value per Mile</t>
  </si>
  <si>
    <t>No-Build Scenario</t>
  </si>
  <si>
    <t>VHT</t>
  </si>
  <si>
    <t>VMT</t>
  </si>
  <si>
    <t>Truck Operating Costs</t>
  </si>
  <si>
    <t>Roadway Maintenance</t>
  </si>
  <si>
    <t>Fatality</t>
  </si>
  <si>
    <t>Total NPV</t>
  </si>
  <si>
    <t>Rail Trips per Week</t>
  </si>
  <si>
    <t>Operators per Rail Trip</t>
  </si>
  <si>
    <t>Trains per Year</t>
  </si>
  <si>
    <t>Rail Operating Costs</t>
  </si>
  <si>
    <t>Operators per Barge Trip</t>
  </si>
  <si>
    <t>Barge Capacity (tons)</t>
  </si>
  <si>
    <t>Barge Trips per Month</t>
  </si>
  <si>
    <t>Annual Ton Miles</t>
  </si>
  <si>
    <t>Barge Trips per Year</t>
  </si>
  <si>
    <t>Barge Operating Costs</t>
  </si>
  <si>
    <t xml:space="preserve">What are Lidquid Bulk Transfer/Logistics Options? </t>
  </si>
  <si>
    <t>1. by truck following existing roadway network?</t>
  </si>
  <si>
    <t>No</t>
  </si>
  <si>
    <t>Why?</t>
  </si>
  <si>
    <t>2. by truck with new connections/access road and existing roadways?</t>
  </si>
  <si>
    <t>4. new pipeline system?</t>
  </si>
  <si>
    <t>Yes</t>
  </si>
  <si>
    <t xml:space="preserve">closest tie-in points? </t>
  </si>
  <si>
    <t>306-33-submered segments?</t>
  </si>
  <si>
    <t>Right of way cost?</t>
  </si>
  <si>
    <t>Permiting cost?</t>
  </si>
  <si>
    <t xml:space="preserve">Capital cost breakout? </t>
  </si>
  <si>
    <t>1. capital cost differences</t>
  </si>
  <si>
    <t>2. lost of business in it entirely? both Nutrien and Port</t>
  </si>
  <si>
    <t>3. lost of business by Port only? but Nutirien will fine new export terminal elsewhere?</t>
  </si>
  <si>
    <t xml:space="preserve">a. CAPEX and OPEX differences between w project and new export terminal options </t>
  </si>
  <si>
    <t xml:space="preserve">. where these terminals will be? </t>
  </si>
  <si>
    <t>w/ vs. wo scenarios:</t>
  </si>
  <si>
    <t>. full opex and logistics cost to new location?</t>
  </si>
  <si>
    <t>3. by new connecting rail, tie in existing rail system?</t>
  </si>
  <si>
    <t>Non-CO2</t>
  </si>
  <si>
    <t xml:space="preserve">Roadway Maintenance </t>
  </si>
  <si>
    <t xml:space="preserve">4. lost of business if w/o the project - simplest </t>
  </si>
  <si>
    <t>Operating Costs</t>
  </si>
  <si>
    <t>Non-CO2 Emission Costs</t>
  </si>
  <si>
    <t>CO2 Costs</t>
  </si>
  <si>
    <t>Freight Railcar</t>
  </si>
  <si>
    <t>Freight Train</t>
  </si>
  <si>
    <t>Hauling</t>
  </si>
  <si>
    <t>Railcar Capacity (Tons)</t>
  </si>
  <si>
    <t>Railcars per Trip</t>
  </si>
  <si>
    <t>Hourly Locomotive Engineer Cost</t>
  </si>
  <si>
    <t>Rail Safety Costs</t>
  </si>
  <si>
    <t>Truck Emission Costs</t>
  </si>
  <si>
    <t>Build Scenario</t>
  </si>
  <si>
    <t>No-Build Diversion Start</t>
  </si>
  <si>
    <t>Average Rail Hauling Speed (MPH)</t>
  </si>
  <si>
    <t>BCA 2023 Guidance Updated</t>
  </si>
  <si>
    <t>Percentage Budget Allocated</t>
  </si>
  <si>
    <t>Rail Emission Costs</t>
  </si>
  <si>
    <t>Annual Berth Maintenance Costs</t>
  </si>
  <si>
    <t>Vessel Depreciation</t>
  </si>
  <si>
    <t>HT</t>
  </si>
  <si>
    <t>MT</t>
  </si>
  <si>
    <t xml:space="preserve">Switching Time Per Trip (Minutes Idling) </t>
  </si>
  <si>
    <t>Annual Hours Hauling</t>
  </si>
  <si>
    <t>Annual Hours Idling</t>
  </si>
  <si>
    <t>Train Operating Costs (Includes Labor/Travel Time Savings)</t>
  </si>
  <si>
    <t>Not included to avoid double counting with operating costs</t>
  </si>
  <si>
    <t>BCA Ratio</t>
  </si>
  <si>
    <t>Truck and Rail Diversion</t>
  </si>
  <si>
    <t>Truck Only Diversion</t>
  </si>
  <si>
    <t>Multimodal -- Waterway Ton Diversion Percentages</t>
  </si>
  <si>
    <t>Truck Only -- Waterway Ton Diversion Percentages</t>
  </si>
  <si>
    <t>USDOT BCA 2023 Guidance (Dec 2023), Table A-1</t>
  </si>
  <si>
    <t>Source: USDOT BCA 2023 Guidance (Dec 2023), Table A-1</t>
  </si>
  <si>
    <t>Monetized Value ($2022)</t>
  </si>
  <si>
    <t>Crash Type</t>
  </si>
  <si>
    <t>USDOT BCA 2023 Guidance (Dec 2023)</t>
  </si>
  <si>
    <t>https://www.eia.gov/dnav/pet/pet_pri_gnd_a_epd2d_pte_dpgal_a.htm. 2021 PADD 1C Diesel Price less 2021 state excise tax less 2021 federal excise tax</t>
  </si>
  <si>
    <t>FRA average speeds along assumed Norfolk Southern rail route to Port, with an additional 30 minutes switching per trip -- See technical memo</t>
  </si>
  <si>
    <t>Barge (Build)</t>
  </si>
  <si>
    <t>Truck (No-Build)</t>
  </si>
  <si>
    <t>Rail (No-Build)</t>
  </si>
  <si>
    <t xml:space="preserve">20-Year Average Dry Material Tonnage </t>
  </si>
  <si>
    <t>No-Build Scenario: 100% Truck Diversion</t>
  </si>
  <si>
    <t>Rounded down to indicate an inability to drive a percentage of a truck.</t>
  </si>
  <si>
    <t>Value per Hour</t>
  </si>
  <si>
    <t>Table A-5: Train Operating and Social Costs</t>
  </si>
  <si>
    <t>USDOT BCA Guidance (Dec 2023)</t>
  </si>
  <si>
    <t>Train Miles (2020)</t>
  </si>
  <si>
    <t>Crash Rate per Mile</t>
  </si>
  <si>
    <t>Cost per Mile</t>
  </si>
  <si>
    <t>Freight Train Crashes by Type</t>
  </si>
  <si>
    <t>Barge Personnel Costs</t>
  </si>
  <si>
    <t>Miles Travelled per Year</t>
  </si>
  <si>
    <t>Dock Maintenance</t>
  </si>
  <si>
    <t>Port and PCP/Nutrien Data</t>
  </si>
  <si>
    <t xml:space="preserve">20-Year Average Liquid Material Tonnage </t>
  </si>
  <si>
    <t>PORT OF MOREHEAD CITY, NC</t>
  </si>
  <si>
    <t>OPINION OF PROBABLE CONSTRUCTION COST - 90% DESIGN</t>
  </si>
  <si>
    <t>Common Work Items</t>
  </si>
  <si>
    <t>Item</t>
  </si>
  <si>
    <t>Name</t>
  </si>
  <si>
    <t>Unit</t>
  </si>
  <si>
    <t>Quantity</t>
  </si>
  <si>
    <t>Unit Cost</t>
  </si>
  <si>
    <t>Cost</t>
  </si>
  <si>
    <t>Furnish Steel Sheet Pile</t>
  </si>
  <si>
    <t>TON</t>
  </si>
  <si>
    <t>Install Steel Sheet Pile</t>
  </si>
  <si>
    <t>EA</t>
  </si>
  <si>
    <t>Flowable Fill</t>
  </si>
  <si>
    <t>CY</t>
  </si>
  <si>
    <t>Furnish and Install Concrete Cap</t>
  </si>
  <si>
    <t>Repair existing pile cap</t>
  </si>
  <si>
    <t>LF</t>
  </si>
  <si>
    <t>Remove and Reinstall UHMW-PE Fenders</t>
  </si>
  <si>
    <t>Replacement of NE Corner Wheel Fender Assembly</t>
  </si>
  <si>
    <t>LS</t>
  </si>
  <si>
    <t>Refurbish Existing Bollards</t>
  </si>
  <si>
    <t>Remove and Reinstall Bull Rail</t>
  </si>
  <si>
    <t>New Bull rail</t>
  </si>
  <si>
    <t>Furnish &amp; Install Soil Anchors</t>
  </si>
  <si>
    <t>Soil Anchor Testing</t>
  </si>
  <si>
    <t>Excavation &amp; Backfill</t>
  </si>
  <si>
    <t>Asphalt Paving/Patching</t>
  </si>
  <si>
    <t>SY</t>
  </si>
  <si>
    <t>Remove and Reinstall Riprap at NE Corner</t>
  </si>
  <si>
    <t>Furnish &amp; Install Riprap at SE Corner</t>
  </si>
  <si>
    <t>Furnish HP18 King Pile</t>
  </si>
  <si>
    <t>Install HP18 King Pile</t>
  </si>
  <si>
    <t>Furnish and Install PC Conc Panels</t>
  </si>
  <si>
    <t>Furnish &amp; Install Tie Rods at SE Corner</t>
  </si>
  <si>
    <t>Furnish &amp; Install Concrete Deadman and Tunnel Closure</t>
  </si>
  <si>
    <t>SE Corner Concrete Tunnel Demo</t>
  </si>
  <si>
    <t>Direct Total (includes Overhead and Profit)</t>
  </si>
  <si>
    <t>Project Total</t>
  </si>
  <si>
    <t>Mobilization</t>
  </si>
  <si>
    <t>%</t>
  </si>
  <si>
    <t>Contingency</t>
  </si>
  <si>
    <t xml:space="preserve">This OPCC is based on the project understanding and preliminary concept. It is our best effort to provide a fair and accurate approximation of the project cost. However, please note that market conditions, construction approach, and other factors may vary and affect the final cost of the project. Therefore, this opinion is not guaranteed and is subject to change as the design concept advances. </t>
  </si>
  <si>
    <t>Assumptions:</t>
  </si>
  <si>
    <t>It's assumed that the soldier pile wall option will be exercised for the Southeast Corner.</t>
  </si>
  <si>
    <t>Management reserve is not included.</t>
  </si>
  <si>
    <t>PHOSPHORIC ACID TERMINAL BARGE DOCKS BULKHEAD REPLACEMENT</t>
  </si>
  <si>
    <t>First Full Operating Year</t>
  </si>
  <si>
    <t>USDOT BCA 2023 Guidance (Dec 2023), Table A-14</t>
  </si>
  <si>
    <t>USDOT BCA 2023 Guidance (Dec 2023), Table A-4, Includes the cost of fuel</t>
  </si>
  <si>
    <t>General</t>
  </si>
  <si>
    <t>Residual Value</t>
  </si>
  <si>
    <t>Hourly Operator Cost</t>
  </si>
  <si>
    <t>Build</t>
  </si>
  <si>
    <t>No-Build</t>
  </si>
  <si>
    <t>Average Cargo Value per Ton</t>
  </si>
  <si>
    <t>Travel time from Google Maps (see technical memo) with an additional 20 minutes entry/exit time per trip -- See technical memo</t>
  </si>
  <si>
    <t>Interest Penalty on Liquid Cargo</t>
  </si>
  <si>
    <t>Truck Diversion (Dry Cargo)</t>
  </si>
  <si>
    <t>Rail Diversion (Dry Cargo)</t>
  </si>
  <si>
    <t>Barge (Liquid Cargo)</t>
  </si>
  <si>
    <t>Barge (Dry Cargo)</t>
  </si>
  <si>
    <t>Assumed to account for 1 captain per crew</t>
  </si>
  <si>
    <t>Assumed to account for 5 crew members</t>
  </si>
  <si>
    <t>Miles Traveled per Year</t>
  </si>
  <si>
    <t xml:space="preserve">Supply Chain </t>
  </si>
  <si>
    <t>Barge Capital Cost</t>
  </si>
  <si>
    <t>Liquid Cargo Barge Count</t>
  </si>
  <si>
    <t>Turnaround Delays (hours) (Build)</t>
  </si>
  <si>
    <t>Turnaround Delays (hours) (No Build)</t>
  </si>
  <si>
    <t>Inputs for Comparison</t>
  </si>
  <si>
    <t>Safety - Barge</t>
  </si>
  <si>
    <t>General - Barge</t>
  </si>
  <si>
    <t>No-Build Scenario: 8.5% Rail and 91.5% Truck Diversion</t>
  </si>
  <si>
    <t>Truck Trips (per week) - Assuming 8.5% Rail and 91.5% Truck Diversion</t>
  </si>
  <si>
    <t>Truck Trips (per week) - Assuming 100% Truck Diversion</t>
  </si>
  <si>
    <t>Assumed to reflect cost of maritime captain</t>
  </si>
  <si>
    <t xml:space="preserve">Assumed to reflect cost of maritime crew </t>
  </si>
  <si>
    <t>Barge Useful Life in Years (No Build)</t>
  </si>
  <si>
    <t>Barge Useful Life in Years (Build)</t>
  </si>
  <si>
    <t>Idling (Switching Time)</t>
  </si>
  <si>
    <t xml:space="preserve"> Routes (Roundtrip)</t>
  </si>
  <si>
    <t>Roundtrip Distance by Truck (Miles)</t>
  </si>
  <si>
    <t>Build Scenario - Reconstructed Dock Open, Benefits Start Date</t>
  </si>
  <si>
    <t>Roundtrip Distance by Rail (Miles)</t>
  </si>
  <si>
    <t>Roundtrip Distance by Barge (Miles)</t>
  </si>
  <si>
    <t>Truck Operating Costs (NPV)</t>
  </si>
  <si>
    <t>Truck Operator Travel Time Savings (NPV)</t>
  </si>
  <si>
    <t>Roadway Maintenance (NPV)</t>
  </si>
  <si>
    <t>CO2 (NPV)</t>
  </si>
  <si>
    <t>Non-CO2 (NPV)</t>
  </si>
  <si>
    <t>Congestion (NPV)</t>
  </si>
  <si>
    <t>Noise (NPV)</t>
  </si>
  <si>
    <t>Safety (NPV)</t>
  </si>
  <si>
    <t xml:space="preserve">Truck Operator Travel Time Savings </t>
  </si>
  <si>
    <t>Train Operating Costs (Includes Labor/Travel Time Savings) (NPV)</t>
  </si>
  <si>
    <t>Fatality (NPV)</t>
  </si>
  <si>
    <t>Injury (NPV)</t>
  </si>
  <si>
    <t>PDO (NPV)</t>
  </si>
  <si>
    <t>Barge Operating Costs (NPV)</t>
  </si>
  <si>
    <t>Barge Personnel Costs (NPV)</t>
  </si>
  <si>
    <t>Dock Maintenance (NPV)</t>
  </si>
  <si>
    <t>SO2 (NPV)</t>
  </si>
  <si>
    <t>PM2.5 (NPV)</t>
  </si>
  <si>
    <t>NOX (NPV)</t>
  </si>
  <si>
    <t>Supply Chain (NPV)</t>
  </si>
  <si>
    <t>Annual Berth 1 Maintenance Costs</t>
  </si>
  <si>
    <t>Increase in O&amp;M for Berth 1 (No Build)</t>
  </si>
  <si>
    <t>No-Build Scenario - 8.5% Rail Share</t>
  </si>
  <si>
    <t>Benefits for Liquid Barges and Cargo</t>
  </si>
  <si>
    <t>Supply Chain Savings</t>
  </si>
  <si>
    <t>Supply Chain Savings (NPV)</t>
  </si>
  <si>
    <t>Annual Project Maintenance Costs (Build - Split Equally between Dry and Liquid Build Scenarios)</t>
  </si>
  <si>
    <t>Current maritime route, see technical memo</t>
  </si>
  <si>
    <t>Estimated for the project, see technical memo</t>
  </si>
  <si>
    <t>Project O&amp;M Costs</t>
  </si>
  <si>
    <t>Project O&amp;M Costs (NPV)</t>
  </si>
  <si>
    <t>Benefits for Dry Barges and Cargo - 8.5% Rail and 91.5% Truck Diversion</t>
  </si>
  <si>
    <t>Benefits for Dry Barges and Cargo - 100% Truck Diversion</t>
  </si>
  <si>
    <t>Truck Operating Savings</t>
  </si>
  <si>
    <t>Truck Operating Savings (NPV)</t>
  </si>
  <si>
    <t>Safety Benefits</t>
  </si>
  <si>
    <t>Safety Benefits (NPV)</t>
  </si>
  <si>
    <t>Final design, environmental review, construction supervision and administration costs are not included and will be provided by the Port.</t>
  </si>
  <si>
    <t>External Highway Use Benefits</t>
  </si>
  <si>
    <t>External Highway Use Benefits (NPV)</t>
  </si>
  <si>
    <t>Emissions Benefits</t>
  </si>
  <si>
    <t>Emissions Benefits (NPV)</t>
  </si>
  <si>
    <t>Berth 1 O&amp;M Savings</t>
  </si>
  <si>
    <t>Berth 1 O&amp;M Savings (NPV)</t>
  </si>
  <si>
    <t>Liquid Barge Depreciation Savings</t>
  </si>
  <si>
    <t>Liquid Barge Depreciation Savings  (NPV)</t>
  </si>
  <si>
    <t>Residual Value (NPV)</t>
  </si>
  <si>
    <t>Summary by Benefit - Undiscounted</t>
  </si>
  <si>
    <t>Summary by Benefit - Discounted</t>
  </si>
  <si>
    <t>Benefits for Liquid Barges and Cargo (NPV)</t>
  </si>
  <si>
    <t>Total (NPV)</t>
  </si>
  <si>
    <t>Benefits for Dry Barges and Cargo - 8.5% Rail and 91.5% Truck Diversion (NPV)</t>
  </si>
  <si>
    <t>Benefits for Dry Barges and Cargo - 100% Truck Diversion (NPV)</t>
  </si>
  <si>
    <t>Summary - Rail/Truck Diversion</t>
  </si>
  <si>
    <t>Summary - Rail/Truck Diversion (NPV)</t>
  </si>
  <si>
    <t>Summary - Truck-Only Diversion (NPV)</t>
  </si>
  <si>
    <t>OR</t>
  </si>
  <si>
    <t>Freight Train Operating Costs</t>
  </si>
  <si>
    <t>Total Operating Cost Savings</t>
  </si>
  <si>
    <t>Total Operating Cost Savings (NPV)</t>
  </si>
  <si>
    <t>Freight Train Operating Costs (NPV)</t>
  </si>
  <si>
    <t>Summary - Truck-Only Diversion</t>
  </si>
  <si>
    <t>Projected for the project</t>
  </si>
  <si>
    <t xml:space="preserve">22 additional barges per month </t>
  </si>
  <si>
    <t>Calculated as a percentage of project maintenance costs proportional to size</t>
  </si>
  <si>
    <t>Accounts for running barge pumps 6-9 additional hours per roundtrip to pump manifold</t>
  </si>
  <si>
    <t>Rail Miles Traveled</t>
  </si>
  <si>
    <t>Trucks Roundtrips per Year</t>
  </si>
  <si>
    <t>Dry Barge Count</t>
  </si>
  <si>
    <t>PCP/Nutrien Data</t>
  </si>
  <si>
    <t>Data provided from current Port and PCP/Nutrien operations (57 nautical miles) -- See technical memo</t>
  </si>
  <si>
    <t>Port and PCP/Nutrien Data (Confidential, informed by key published actual values for P2O5)</t>
  </si>
  <si>
    <t>Barge Capacity (Metric Tons)</t>
  </si>
  <si>
    <t>Average Cargo Value per Metric Ton</t>
  </si>
  <si>
    <t xml:space="preserve">Project Start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</si>
</sst>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0.000"/>
    <numFmt numFmtId="166" formatCode="&quot;$&quot;#,##0.00"/>
    <numFmt numFmtId="167" formatCode="0.0000"/>
    <numFmt numFmtId="168" formatCode="&quot;$&quot;#,##0"/>
    <numFmt numFmtId="169" formatCode="0.00000"/>
    <numFmt numFmtId="170" formatCode="0.0"/>
    <numFmt numFmtId="171" formatCode="_(* #,##0.000000000_);_(* \(#,##0.000000000\);_(* &quot;-&quot;??_);_(@_)"/>
    <numFmt numFmtId="172" formatCode="0.E+00"/>
    <numFmt numFmtId="173" formatCode="0.0%"/>
    <numFmt numFmtId="174" formatCode="0.00000000000000"/>
    <numFmt numFmtId="175" formatCode="0.000000000000"/>
    <numFmt numFmtId="176" formatCode="&quot;$&quot;#,##0.000"/>
    <numFmt numFmtId="177" formatCode="[$-409]mmmm\ d\,\ yyyy;@"/>
    <numFmt numFmtId="178" formatCode="_(&quot;$&quot;* #,##0_);_(&quot;$&quot;* \(#,##0\);_(&quot;$&quot;* &quot;-&quot;??_);_(@_)"/>
  </numFmts>
  <fonts count="32"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color theme="1"/>
      <name val="Calibri"/>
      <family val="2"/>
    </font>
    <font>
      <sz val="11"/>
      <color rgb="FF0000CC"/>
      <name val="Calibri"/>
      <family val="2"/>
    </font>
    <font>
      <u/>
      <sz val="11"/>
      <color rgb="FF0563C1"/>
      <name val="Calibri"/>
      <family val="2"/>
    </font>
    <font>
      <b/>
      <sz val="15"/>
      <color theme="3"/>
      <name val="Calibri"/>
      <family val="2"/>
      <scheme val="minor"/>
    </font>
    <font>
      <i/>
      <sz val="11"/>
      <color theme="1"/>
      <name val="Calibri"/>
      <family val="2"/>
      <scheme val="minor"/>
    </font>
    <font>
      <sz val="11"/>
      <color rgb="FF0000CC"/>
      <name val="Calibri"/>
      <family val="2"/>
      <scheme val="minor"/>
    </font>
    <font>
      <sz val="11"/>
      <color rgb="FF0000FF"/>
      <name val="Calibri"/>
      <family val="2"/>
      <scheme val="minor"/>
    </font>
    <font>
      <sz val="10"/>
      <name val="Arial"/>
      <family val="2"/>
    </font>
    <font>
      <u/>
      <sz val="11"/>
      <color rgb="FF0070C0"/>
      <name val="Calibri"/>
      <family val="2"/>
      <scheme val="minor"/>
    </font>
    <font>
      <sz val="11"/>
      <name val="Calibri"/>
      <family val="2"/>
      <scheme val="minor"/>
    </font>
    <font>
      <b/>
      <sz val="11"/>
      <color rgb="FF000000"/>
      <name val="Calibri"/>
      <family val="2"/>
    </font>
    <font>
      <b/>
      <sz val="11"/>
      <name val="Calibri"/>
      <family val="2"/>
      <scheme val="minor"/>
    </font>
    <font>
      <b/>
      <sz val="11"/>
      <color rgb="FF0000FF"/>
      <name val="Calibri"/>
      <family val="2"/>
      <scheme val="minor"/>
    </font>
    <font>
      <b/>
      <u/>
      <sz val="11"/>
      <color theme="1"/>
      <name val="Calibri"/>
      <family val="2"/>
      <scheme val="minor"/>
    </font>
    <font>
      <sz val="11"/>
      <color rgb="FF0000CC"/>
      <name val="Calibri"/>
      <family val="2"/>
    </font>
    <font>
      <sz val="11"/>
      <name val="Calibri"/>
      <family val="2"/>
    </font>
    <font>
      <sz val="8"/>
      <name val="Calibri"/>
      <family val="2"/>
      <scheme val="minor"/>
    </font>
    <font>
      <b/>
      <sz val="14"/>
      <color theme="1"/>
      <name val="Arial"/>
      <family val="2"/>
    </font>
    <font>
      <b/>
      <sz val="11"/>
      <color theme="1"/>
      <name val="Arial"/>
      <family val="2"/>
    </font>
    <font>
      <sz val="11"/>
      <color theme="1"/>
      <name val="Arial"/>
      <family val="2"/>
    </font>
    <font>
      <sz val="11"/>
      <name val="Arial"/>
      <family val="2"/>
    </font>
    <font>
      <i/>
      <sz val="11"/>
      <color theme="1"/>
      <name val="Arial"/>
      <family val="2"/>
    </font>
    <font>
      <b/>
      <i/>
      <sz val="11"/>
      <color theme="1"/>
      <name val="Arial"/>
      <family val="2"/>
    </font>
    <font>
      <sz val="10"/>
      <color theme="1"/>
      <name val="Arial"/>
      <family val="2"/>
    </font>
    <font>
      <b/>
      <u/>
      <sz val="11"/>
      <color theme="1"/>
      <name val="Arial"/>
      <family val="2"/>
    </font>
    <font>
      <sz val="11"/>
      <color rgb="FFFF0000"/>
      <name val="Calibri"/>
      <family val="2"/>
      <scheme val="minor"/>
    </font>
    <font>
      <sz val="11"/>
      <color theme="1"/>
      <name val="Calibri"/>
      <family val="2"/>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9" fontId="2" fillId="0" borderId="0" applyFont="0" applyFill="0" applyBorder="0" applyAlignment="0" applyProtection="0"/>
    <xf numFmtId="0" fontId="7" fillId="0" borderId="2" applyNumberFormat="0" applyFill="0" applyAlignment="0" applyProtection="0"/>
    <xf numFmtId="0" fontId="11" fillId="0" borderId="0"/>
  </cellStyleXfs>
  <cellXfs count="197">
    <xf numFmtId="0" fontId="0" fillId="0" borderId="0" xfId="0"/>
    <xf numFmtId="0" fontId="1" fillId="0" borderId="0" xfId="0" applyFont="1"/>
    <xf numFmtId="0" fontId="5" fillId="0" borderId="1" xfId="0" applyFont="1" applyBorder="1"/>
    <xf numFmtId="166" fontId="5" fillId="0" borderId="1" xfId="0" applyNumberFormat="1" applyFont="1" applyBorder="1"/>
    <xf numFmtId="0" fontId="8" fillId="0" borderId="0" xfId="0" applyFont="1"/>
    <xf numFmtId="0" fontId="0" fillId="0" borderId="1" xfId="0" applyBorder="1"/>
    <xf numFmtId="5" fontId="10" fillId="0" borderId="1" xfId="0" applyNumberFormat="1" applyFont="1" applyBorder="1"/>
    <xf numFmtId="0" fontId="0" fillId="0" borderId="0" xfId="0" applyAlignment="1">
      <alignment horizontal="center"/>
    </xf>
    <xf numFmtId="168" fontId="0" fillId="0" borderId="0" xfId="0" applyNumberFormat="1"/>
    <xf numFmtId="3" fontId="0" fillId="0" borderId="0" xfId="0" applyNumberFormat="1"/>
    <xf numFmtId="3" fontId="0" fillId="0" borderId="1" xfId="0" applyNumberFormat="1" applyBorder="1"/>
    <xf numFmtId="0" fontId="1" fillId="0" borderId="1" xfId="0" applyFont="1" applyBorder="1"/>
    <xf numFmtId="0" fontId="0" fillId="0" borderId="1" xfId="0" applyBorder="1" applyAlignment="1">
      <alignment horizontal="center"/>
    </xf>
    <xf numFmtId="0" fontId="1" fillId="2" borderId="1" xfId="0" applyFont="1" applyFill="1" applyBorder="1"/>
    <xf numFmtId="0" fontId="1" fillId="2" borderId="1" xfId="0" applyFont="1" applyFill="1" applyBorder="1" applyAlignment="1">
      <alignment horizontal="center"/>
    </xf>
    <xf numFmtId="0" fontId="1" fillId="2" borderId="1" xfId="0" applyFont="1" applyFill="1" applyBorder="1" applyAlignment="1">
      <alignment horizontal="center" wrapText="1"/>
    </xf>
    <xf numFmtId="168" fontId="0" fillId="0" borderId="1" xfId="0" applyNumberFormat="1" applyBorder="1"/>
    <xf numFmtId="168" fontId="10" fillId="0" borderId="1" xfId="0" applyNumberFormat="1" applyFont="1" applyBorder="1"/>
    <xf numFmtId="0" fontId="10" fillId="0" borderId="1" xfId="0" applyFont="1" applyBorder="1"/>
    <xf numFmtId="0" fontId="7" fillId="0" borderId="2" xfId="5"/>
    <xf numFmtId="169" fontId="0" fillId="0" borderId="1" xfId="0" applyNumberFormat="1" applyBorder="1"/>
    <xf numFmtId="0" fontId="0" fillId="0" borderId="4" xfId="0" applyBorder="1" applyAlignment="1">
      <alignment horizontal="left" vertical="top"/>
    </xf>
    <xf numFmtId="0" fontId="0" fillId="0" borderId="5" xfId="0" applyBorder="1" applyAlignment="1">
      <alignment horizontal="left" vertical="top"/>
    </xf>
    <xf numFmtId="49" fontId="1" fillId="2" borderId="1" xfId="0" applyNumberFormat="1" applyFont="1" applyFill="1" applyBorder="1" applyAlignment="1">
      <alignment horizontal="center" vertical="top"/>
    </xf>
    <xf numFmtId="2" fontId="10" fillId="0" borderId="1" xfId="0" applyNumberFormat="1" applyFont="1" applyBorder="1"/>
    <xf numFmtId="3" fontId="10" fillId="0" borderId="1" xfId="0" applyNumberFormat="1" applyFont="1" applyBorder="1"/>
    <xf numFmtId="0" fontId="13" fillId="0" borderId="0" xfId="0" applyFont="1"/>
    <xf numFmtId="0" fontId="3" fillId="0" borderId="0" xfId="3"/>
    <xf numFmtId="170" fontId="10" fillId="0" borderId="1" xfId="0" applyNumberFormat="1" applyFont="1" applyBorder="1"/>
    <xf numFmtId="170" fontId="10" fillId="0" borderId="0" xfId="0" applyNumberFormat="1" applyFont="1"/>
    <xf numFmtId="0" fontId="14" fillId="3" borderId="1" xfId="0" applyFont="1" applyFill="1" applyBorder="1" applyAlignment="1">
      <alignment horizontal="left" vertical="top"/>
    </xf>
    <xf numFmtId="0" fontId="4" fillId="0" borderId="1" xfId="0" applyFont="1" applyBorder="1"/>
    <xf numFmtId="164" fontId="4" fillId="0" borderId="1" xfId="1" applyNumberFormat="1" applyFont="1" applyFill="1" applyBorder="1"/>
    <xf numFmtId="0" fontId="4" fillId="0" borderId="1" xfId="0" applyFont="1" applyBorder="1" applyAlignment="1">
      <alignment wrapText="1"/>
    </xf>
    <xf numFmtId="0" fontId="6" fillId="0" borderId="1" xfId="3" applyFont="1" applyFill="1" applyBorder="1"/>
    <xf numFmtId="171" fontId="0" fillId="0" borderId="1" xfId="0" applyNumberFormat="1" applyBorder="1"/>
    <xf numFmtId="3" fontId="5" fillId="0" borderId="1" xfId="1" applyNumberFormat="1" applyFont="1" applyFill="1" applyBorder="1"/>
    <xf numFmtId="3" fontId="1" fillId="0" borderId="1" xfId="0" applyNumberFormat="1" applyFont="1" applyBorder="1"/>
    <xf numFmtId="3" fontId="1" fillId="0" borderId="0" xfId="0" applyNumberFormat="1" applyFont="1"/>
    <xf numFmtId="168" fontId="1" fillId="0" borderId="1" xfId="0" applyNumberFormat="1" applyFont="1" applyBorder="1"/>
    <xf numFmtId="168" fontId="1" fillId="0" borderId="0" xfId="0" applyNumberFormat="1" applyFont="1"/>
    <xf numFmtId="172" fontId="0" fillId="0" borderId="1" xfId="0" applyNumberFormat="1" applyBorder="1"/>
    <xf numFmtId="170" fontId="16" fillId="0" borderId="0" xfId="0" applyNumberFormat="1" applyFont="1"/>
    <xf numFmtId="0" fontId="3" fillId="0" borderId="1" xfId="3" applyBorder="1"/>
    <xf numFmtId="9" fontId="0" fillId="0" borderId="0" xfId="4" applyFont="1"/>
    <xf numFmtId="49" fontId="1" fillId="2" borderId="3" xfId="0" applyNumberFormat="1" applyFont="1" applyFill="1" applyBorder="1" applyAlignment="1">
      <alignment horizontal="center" vertical="top" wrapText="1"/>
    </xf>
    <xf numFmtId="49" fontId="1" fillId="2" borderId="4" xfId="0" applyNumberFormat="1" applyFont="1" applyFill="1" applyBorder="1" applyAlignment="1">
      <alignment horizontal="center" vertical="top" wrapText="1"/>
    </xf>
    <xf numFmtId="0" fontId="13" fillId="0" borderId="1" xfId="0" applyFont="1" applyBorder="1"/>
    <xf numFmtId="2" fontId="13" fillId="0" borderId="1" xfId="0" applyNumberFormat="1" applyFont="1" applyBorder="1"/>
    <xf numFmtId="2" fontId="0" fillId="0" borderId="1" xfId="0" applyNumberFormat="1" applyBorder="1"/>
    <xf numFmtId="4" fontId="10" fillId="0" borderId="1" xfId="0" applyNumberFormat="1" applyFont="1" applyBorder="1"/>
    <xf numFmtId="9" fontId="0" fillId="0" borderId="1" xfId="4" applyFont="1" applyBorder="1"/>
    <xf numFmtId="173" fontId="10" fillId="0" borderId="1" xfId="4" applyNumberFormat="1" applyFont="1" applyBorder="1"/>
    <xf numFmtId="173" fontId="13" fillId="0" borderId="1" xfId="4" applyNumberFormat="1" applyFont="1" applyBorder="1"/>
    <xf numFmtId="170" fontId="13" fillId="0" borderId="0" xfId="0" applyNumberFormat="1" applyFont="1"/>
    <xf numFmtId="174" fontId="0" fillId="0" borderId="1" xfId="0" applyNumberFormat="1" applyBorder="1"/>
    <xf numFmtId="175" fontId="0" fillId="0" borderId="1" xfId="0" applyNumberFormat="1" applyBorder="1"/>
    <xf numFmtId="165" fontId="5" fillId="0" borderId="1" xfId="1" applyNumberFormat="1" applyFont="1" applyFill="1" applyBorder="1"/>
    <xf numFmtId="165" fontId="5" fillId="0" borderId="1" xfId="0" applyNumberFormat="1" applyFont="1" applyBorder="1"/>
    <xf numFmtId="0" fontId="1" fillId="2" borderId="1" xfId="0" applyFont="1" applyFill="1" applyBorder="1" applyAlignment="1">
      <alignment wrapText="1"/>
    </xf>
    <xf numFmtId="166" fontId="0" fillId="0" borderId="1" xfId="2" applyNumberFormat="1" applyFont="1" applyBorder="1"/>
    <xf numFmtId="166" fontId="0" fillId="0" borderId="0" xfId="0" applyNumberFormat="1"/>
    <xf numFmtId="173" fontId="16" fillId="2" borderId="1" xfId="0" applyNumberFormat="1" applyFont="1" applyFill="1" applyBorder="1" applyAlignment="1">
      <alignment horizontal="center"/>
    </xf>
    <xf numFmtId="176" fontId="10" fillId="0" borderId="1" xfId="2" applyNumberFormat="1" applyFont="1" applyBorder="1"/>
    <xf numFmtId="0" fontId="4" fillId="0" borderId="1" xfId="1" applyNumberFormat="1" applyFont="1" applyFill="1" applyBorder="1"/>
    <xf numFmtId="9" fontId="10" fillId="0" borderId="1" xfId="4" applyFont="1" applyBorder="1"/>
    <xf numFmtId="9" fontId="1" fillId="0" borderId="1" xfId="0" applyNumberFormat="1" applyFont="1" applyBorder="1"/>
    <xf numFmtId="0" fontId="0" fillId="0" borderId="1" xfId="0" applyBorder="1" applyAlignment="1">
      <alignment horizontal="left"/>
    </xf>
    <xf numFmtId="0" fontId="17" fillId="0" borderId="0" xfId="0" applyFont="1"/>
    <xf numFmtId="167" fontId="9" fillId="0" borderId="0" xfId="0" applyNumberFormat="1" applyFont="1"/>
    <xf numFmtId="0" fontId="10" fillId="0" borderId="0" xfId="0" applyFont="1"/>
    <xf numFmtId="0" fontId="0" fillId="0" borderId="0" xfId="0" applyAlignment="1">
      <alignment horizontal="left" indent="1"/>
    </xf>
    <xf numFmtId="0" fontId="0" fillId="0" borderId="1" xfId="0" applyBorder="1" applyAlignment="1">
      <alignment horizontal="left" indent="1"/>
    </xf>
    <xf numFmtId="166" fontId="10" fillId="0" borderId="1" xfId="0" applyNumberFormat="1" applyFont="1" applyBorder="1"/>
    <xf numFmtId="0" fontId="0" fillId="0" borderId="0" xfId="0" applyAlignment="1">
      <alignment wrapText="1"/>
    </xf>
    <xf numFmtId="176" fontId="5" fillId="0" borderId="1" xfId="0" applyNumberFormat="1" applyFont="1" applyBorder="1"/>
    <xf numFmtId="168" fontId="10" fillId="0" borderId="0" xfId="0" applyNumberFormat="1" applyFont="1"/>
    <xf numFmtId="0" fontId="4" fillId="0" borderId="0" xfId="0" applyFont="1" applyAlignment="1">
      <alignment wrapText="1"/>
    </xf>
    <xf numFmtId="4" fontId="5" fillId="0" borderId="0" xfId="0" applyNumberFormat="1" applyFont="1"/>
    <xf numFmtId="4" fontId="5" fillId="0" borderId="1" xfId="0" applyNumberFormat="1" applyFont="1" applyBorder="1"/>
    <xf numFmtId="166" fontId="10" fillId="0" borderId="0" xfId="0" applyNumberFormat="1" applyFont="1"/>
    <xf numFmtId="168" fontId="13" fillId="0" borderId="1" xfId="2" applyNumberFormat="1" applyFont="1" applyBorder="1"/>
    <xf numFmtId="9" fontId="1" fillId="0" borderId="1" xfId="4" applyFont="1" applyBorder="1"/>
    <xf numFmtId="9" fontId="1" fillId="0" borderId="0" xfId="4" applyFont="1"/>
    <xf numFmtId="0" fontId="0" fillId="0" borderId="13" xfId="0" applyBorder="1"/>
    <xf numFmtId="3" fontId="0" fillId="0" borderId="13" xfId="0" applyNumberFormat="1" applyBorder="1"/>
    <xf numFmtId="168" fontId="0" fillId="0" borderId="13" xfId="0" applyNumberFormat="1" applyBorder="1"/>
    <xf numFmtId="0" fontId="0" fillId="0" borderId="1" xfId="0" applyBorder="1" applyAlignment="1">
      <alignment wrapText="1"/>
    </xf>
    <xf numFmtId="0" fontId="1" fillId="0" borderId="1" xfId="0" applyFont="1" applyBorder="1" applyAlignment="1">
      <alignment horizontal="right"/>
    </xf>
    <xf numFmtId="4" fontId="18" fillId="0" borderId="1" xfId="0" applyNumberFormat="1" applyFont="1" applyBorder="1"/>
    <xf numFmtId="4" fontId="19" fillId="0" borderId="0" xfId="0" applyNumberFormat="1" applyFont="1"/>
    <xf numFmtId="44" fontId="0" fillId="0" borderId="0" xfId="2" applyFont="1"/>
    <xf numFmtId="4" fontId="0" fillId="0" borderId="1" xfId="0" applyNumberFormat="1" applyBorder="1"/>
    <xf numFmtId="164" fontId="3" fillId="0" borderId="1" xfId="3" quotePrefix="1" applyNumberFormat="1" applyFill="1" applyBorder="1"/>
    <xf numFmtId="0" fontId="23" fillId="0" borderId="1" xfId="0" applyFont="1" applyBorder="1" applyAlignment="1">
      <alignment horizontal="center"/>
    </xf>
    <xf numFmtId="0" fontId="23" fillId="0" borderId="1" xfId="0" applyFont="1" applyBorder="1"/>
    <xf numFmtId="0" fontId="24" fillId="0" borderId="1" xfId="0" applyFont="1" applyBorder="1" applyAlignment="1">
      <alignment horizontal="center"/>
    </xf>
    <xf numFmtId="0" fontId="24" fillId="0" borderId="1" xfId="0" applyFont="1" applyBorder="1"/>
    <xf numFmtId="178" fontId="24" fillId="0" borderId="1" xfId="2" applyNumberFormat="1" applyFont="1" applyFill="1" applyBorder="1" applyAlignment="1">
      <alignment horizontal="center"/>
    </xf>
    <xf numFmtId="178" fontId="23" fillId="0" borderId="1" xfId="2" applyNumberFormat="1" applyFont="1" applyBorder="1" applyAlignment="1">
      <alignment horizontal="center"/>
    </xf>
    <xf numFmtId="0" fontId="24" fillId="0" borderId="14" xfId="0" applyFont="1" applyBorder="1" applyAlignment="1">
      <alignment horizontal="center"/>
    </xf>
    <xf numFmtId="178" fontId="24" fillId="0" borderId="14" xfId="2" applyNumberFormat="1" applyFont="1" applyFill="1" applyBorder="1" applyAlignment="1">
      <alignment horizontal="center"/>
    </xf>
    <xf numFmtId="178" fontId="23" fillId="0" borderId="14" xfId="2" applyNumberFormat="1" applyFont="1" applyBorder="1" applyAlignment="1">
      <alignment horizontal="center"/>
    </xf>
    <xf numFmtId="0" fontId="24" fillId="0" borderId="14" xfId="0" applyFont="1" applyBorder="1"/>
    <xf numFmtId="0" fontId="25" fillId="0" borderId="13" xfId="0" applyFont="1" applyBorder="1"/>
    <xf numFmtId="178" fontId="23" fillId="0" borderId="1" xfId="2" applyNumberFormat="1" applyFont="1" applyBorder="1"/>
    <xf numFmtId="0" fontId="23" fillId="0" borderId="13" xfId="0" applyFont="1" applyBorder="1" applyAlignment="1">
      <alignment horizontal="center"/>
    </xf>
    <xf numFmtId="0" fontId="23" fillId="0" borderId="13" xfId="0" applyFont="1" applyBorder="1"/>
    <xf numFmtId="44" fontId="23" fillId="0" borderId="13" xfId="2" applyFont="1" applyBorder="1"/>
    <xf numFmtId="9" fontId="23" fillId="0" borderId="1" xfId="4" applyFont="1" applyBorder="1" applyAlignment="1">
      <alignment horizontal="center"/>
    </xf>
    <xf numFmtId="44" fontId="23" fillId="0" borderId="1" xfId="2" applyFont="1" applyBorder="1"/>
    <xf numFmtId="0" fontId="26" fillId="0" borderId="13" xfId="0" applyFont="1" applyBorder="1"/>
    <xf numFmtId="0" fontId="22" fillId="0" borderId="13" xfId="0" applyFont="1" applyBorder="1" applyAlignment="1">
      <alignment horizontal="center"/>
    </xf>
    <xf numFmtId="44" fontId="22" fillId="0" borderId="13" xfId="2" applyFont="1" applyBorder="1"/>
    <xf numFmtId="0" fontId="25" fillId="0" borderId="13" xfId="0" applyFont="1" applyBorder="1" applyAlignment="1">
      <alignment horizontal="left" indent="2"/>
    </xf>
    <xf numFmtId="0" fontId="23" fillId="0" borderId="0" xfId="0" applyFont="1" applyAlignment="1">
      <alignment horizontal="center"/>
    </xf>
    <xf numFmtId="0" fontId="23" fillId="0" borderId="0" xfId="0" applyFont="1"/>
    <xf numFmtId="0" fontId="28" fillId="0" borderId="0" xfId="0" applyFont="1" applyAlignment="1">
      <alignment horizontal="left"/>
    </xf>
    <xf numFmtId="0" fontId="30" fillId="0" borderId="1" xfId="0" applyFont="1" applyBorder="1" applyAlignment="1">
      <alignment wrapText="1"/>
    </xf>
    <xf numFmtId="166" fontId="18" fillId="0" borderId="1" xfId="0" applyNumberFormat="1" applyFont="1" applyBorder="1"/>
    <xf numFmtId="0" fontId="1" fillId="2" borderId="7" xfId="0" applyFont="1" applyFill="1" applyBorder="1" applyAlignment="1">
      <alignment horizontal="center"/>
    </xf>
    <xf numFmtId="0" fontId="0" fillId="0" borderId="8" xfId="0" applyBorder="1" applyAlignment="1">
      <alignment horizontal="left"/>
    </xf>
    <xf numFmtId="0" fontId="0" fillId="0" borderId="9" xfId="0" applyBorder="1" applyAlignment="1">
      <alignment horizontal="right"/>
    </xf>
    <xf numFmtId="5" fontId="0" fillId="0" borderId="9" xfId="0" applyNumberFormat="1" applyBorder="1" applyAlignment="1">
      <alignment horizontal="right"/>
    </xf>
    <xf numFmtId="2" fontId="1" fillId="0" borderId="10" xfId="0" applyNumberFormat="1" applyFont="1" applyBorder="1" applyAlignment="1">
      <alignment horizontal="right"/>
    </xf>
    <xf numFmtId="0" fontId="0" fillId="0" borderId="0" xfId="0" applyAlignment="1">
      <alignment horizontal="left"/>
    </xf>
    <xf numFmtId="0" fontId="0" fillId="0" borderId="14" xfId="0" applyBorder="1"/>
    <xf numFmtId="3" fontId="10" fillId="0" borderId="14" xfId="0" applyNumberFormat="1" applyFont="1" applyBorder="1"/>
    <xf numFmtId="9" fontId="10" fillId="0" borderId="0" xfId="4" applyFont="1" applyBorder="1"/>
    <xf numFmtId="9" fontId="18" fillId="0" borderId="1" xfId="4" applyFont="1" applyBorder="1"/>
    <xf numFmtId="9" fontId="10" fillId="0" borderId="1" xfId="4" applyFont="1" applyFill="1" applyBorder="1"/>
    <xf numFmtId="0" fontId="31" fillId="0" borderId="0" xfId="0" applyFont="1"/>
    <xf numFmtId="0" fontId="29" fillId="0" borderId="0" xfId="0" applyFont="1"/>
    <xf numFmtId="168" fontId="29" fillId="0" borderId="0" xfId="0" applyNumberFormat="1" applyFont="1"/>
    <xf numFmtId="0" fontId="0" fillId="0" borderId="0" xfId="0" applyAlignment="1">
      <alignment horizontal="center" wrapText="1"/>
    </xf>
    <xf numFmtId="0" fontId="15" fillId="2" borderId="1" xfId="0" applyFont="1" applyFill="1" applyBorder="1" applyAlignment="1">
      <alignment horizontal="center" wrapText="1"/>
    </xf>
    <xf numFmtId="9" fontId="0" fillId="0" borderId="0" xfId="4" applyFont="1" applyBorder="1"/>
    <xf numFmtId="0" fontId="1" fillId="2" borderId="1" xfId="0" applyFont="1" applyFill="1" applyBorder="1" applyAlignment="1">
      <alignment horizontal="right" wrapText="1"/>
    </xf>
    <xf numFmtId="6" fontId="10" fillId="0" borderId="1" xfId="4" applyNumberFormat="1" applyFont="1" applyFill="1" applyBorder="1"/>
    <xf numFmtId="49" fontId="15" fillId="2" borderId="3" xfId="0" applyNumberFormat="1" applyFont="1" applyFill="1" applyBorder="1" applyAlignment="1">
      <alignment horizontal="center" vertical="top" wrapText="1"/>
    </xf>
    <xf numFmtId="0" fontId="1" fillId="0" borderId="0" xfId="0" applyFont="1" applyAlignment="1">
      <alignment horizontal="center" wrapText="1"/>
    </xf>
    <xf numFmtId="0" fontId="1" fillId="0" borderId="0" xfId="0" applyFont="1" applyAlignment="1">
      <alignment wrapText="1"/>
    </xf>
    <xf numFmtId="6" fontId="0" fillId="0" borderId="1" xfId="0" applyNumberFormat="1" applyBorder="1"/>
    <xf numFmtId="6" fontId="1" fillId="0" borderId="1" xfId="0" applyNumberFormat="1" applyFont="1" applyBorder="1"/>
    <xf numFmtId="0" fontId="29" fillId="0" borderId="0" xfId="0" applyFont="1" applyAlignment="1">
      <alignment horizontal="center" wrapText="1"/>
    </xf>
    <xf numFmtId="0" fontId="0" fillId="2" borderId="1" xfId="0" applyFill="1" applyBorder="1" applyAlignment="1">
      <alignment horizontal="center" wrapText="1"/>
    </xf>
    <xf numFmtId="0" fontId="1" fillId="0" borderId="24" xfId="0" applyFont="1" applyBorder="1" applyAlignment="1">
      <alignment horizontal="left"/>
    </xf>
    <xf numFmtId="0" fontId="1" fillId="0" borderId="23" xfId="0" applyFont="1" applyBorder="1" applyAlignment="1">
      <alignment horizontal="left"/>
    </xf>
    <xf numFmtId="5" fontId="1" fillId="0" borderId="25" xfId="0" applyNumberFormat="1" applyFont="1" applyBorder="1" applyAlignment="1">
      <alignment horizontal="right"/>
    </xf>
    <xf numFmtId="44" fontId="0" fillId="0" borderId="0" xfId="0" applyNumberFormat="1"/>
    <xf numFmtId="44" fontId="1" fillId="0" borderId="0" xfId="0" applyNumberFormat="1" applyFont="1"/>
    <xf numFmtId="168" fontId="1" fillId="0" borderId="6" xfId="0" applyNumberFormat="1" applyFont="1" applyBorder="1"/>
    <xf numFmtId="168" fontId="1" fillId="0" borderId="12" xfId="0" applyNumberFormat="1" applyFont="1" applyBorder="1"/>
    <xf numFmtId="5" fontId="0" fillId="0" borderId="0" xfId="0" applyNumberFormat="1" applyAlignment="1">
      <alignment horizontal="right"/>
    </xf>
    <xf numFmtId="178" fontId="0" fillId="0" borderId="0" xfId="0" applyNumberFormat="1" applyAlignment="1">
      <alignment horizontal="right"/>
    </xf>
    <xf numFmtId="0" fontId="0" fillId="0" borderId="0" xfId="0" applyAlignment="1">
      <alignment horizontal="right"/>
    </xf>
    <xf numFmtId="5" fontId="1" fillId="0" borderId="0" xfId="0" applyNumberFormat="1" applyFont="1" applyAlignment="1">
      <alignment horizontal="right"/>
    </xf>
    <xf numFmtId="2" fontId="1" fillId="0" borderId="0" xfId="0" applyNumberFormat="1" applyFont="1" applyAlignment="1">
      <alignment horizontal="right"/>
    </xf>
    <xf numFmtId="6" fontId="0" fillId="0" borderId="0" xfId="0" applyNumberFormat="1"/>
    <xf numFmtId="0" fontId="1" fillId="0" borderId="4" xfId="0" applyFont="1" applyBorder="1" applyAlignment="1">
      <alignment horizontal="left"/>
    </xf>
    <xf numFmtId="0" fontId="1" fillId="0" borderId="12" xfId="0" applyFont="1" applyBorder="1" applyAlignment="1">
      <alignment horizontal="left"/>
    </xf>
    <xf numFmtId="0" fontId="1" fillId="0" borderId="5" xfId="0" applyFont="1" applyBorder="1" applyAlignment="1">
      <alignment horizontal="left"/>
    </xf>
    <xf numFmtId="0" fontId="1" fillId="0" borderId="17" xfId="0" applyFont="1" applyBorder="1" applyAlignment="1">
      <alignment horizontal="left"/>
    </xf>
    <xf numFmtId="0" fontId="1" fillId="2" borderId="3" xfId="0" applyFont="1" applyFill="1" applyBorder="1" applyAlignment="1">
      <alignment horizontal="center"/>
    </xf>
    <xf numFmtId="0" fontId="1" fillId="2" borderId="16" xfId="0" applyFont="1" applyFill="1" applyBorder="1" applyAlignment="1">
      <alignment horizontal="center"/>
    </xf>
    <xf numFmtId="2" fontId="1" fillId="0" borderId="4" xfId="0" applyNumberFormat="1" applyFont="1" applyBorder="1" applyAlignment="1">
      <alignment horizontal="left"/>
    </xf>
    <xf numFmtId="2" fontId="1" fillId="0" borderId="12" xfId="0" applyNumberFormat="1" applyFont="1" applyBorder="1" applyAlignment="1">
      <alignment horizontal="left"/>
    </xf>
    <xf numFmtId="0" fontId="1"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2" fillId="0" borderId="6" xfId="0" applyFont="1" applyBorder="1"/>
    <xf numFmtId="0" fontId="12" fillId="0" borderId="11" xfId="0" applyFont="1" applyBorder="1"/>
    <xf numFmtId="0" fontId="12" fillId="0" borderId="12" xfId="0" applyFont="1" applyBorder="1"/>
    <xf numFmtId="0" fontId="1" fillId="0" borderId="21" xfId="0" applyFont="1" applyBorder="1"/>
    <xf numFmtId="0" fontId="1" fillId="0" borderId="22" xfId="0" applyFont="1" applyBorder="1"/>
    <xf numFmtId="0" fontId="1" fillId="0" borderId="23" xfId="0" applyFont="1" applyBorder="1"/>
    <xf numFmtId="0" fontId="1" fillId="0" borderId="19" xfId="0" applyFont="1" applyBorder="1"/>
    <xf numFmtId="0" fontId="1" fillId="0" borderId="20" xfId="0" applyFont="1" applyBorder="1"/>
    <xf numFmtId="0" fontId="1" fillId="0" borderId="18" xfId="0" applyFont="1" applyBorder="1"/>
    <xf numFmtId="0" fontId="0" fillId="0" borderId="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2" borderId="1" xfId="0" applyFont="1" applyFill="1" applyBorder="1" applyAlignment="1">
      <alignment horizontal="left"/>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0" borderId="1" xfId="0" applyBorder="1" applyAlignment="1">
      <alignment horizontal="left" wrapText="1"/>
    </xf>
    <xf numFmtId="0" fontId="23" fillId="0" borderId="1" xfId="0" applyFont="1" applyBorder="1" applyAlignment="1">
      <alignment horizontal="center"/>
    </xf>
    <xf numFmtId="0" fontId="22" fillId="2" borderId="15" xfId="0" applyFont="1" applyFill="1" applyBorder="1" applyAlignment="1">
      <alignment horizontal="center"/>
    </xf>
    <xf numFmtId="0" fontId="27" fillId="0" borderId="1" xfId="0" applyFont="1" applyBorder="1" applyAlignment="1">
      <alignment horizontal="left" vertical="top" wrapText="1"/>
    </xf>
    <xf numFmtId="0" fontId="21" fillId="0" borderId="1" xfId="0" applyFont="1" applyBorder="1" applyAlignment="1">
      <alignment horizontal="center"/>
    </xf>
    <xf numFmtId="177" fontId="21" fillId="0" borderId="1" xfId="0" applyNumberFormat="1" applyFont="1" applyBorder="1" applyAlignment="1">
      <alignment horizontal="center"/>
    </xf>
    <xf numFmtId="0" fontId="22" fillId="2" borderId="1" xfId="0" applyFont="1" applyFill="1" applyBorder="1" applyAlignment="1">
      <alignment horizontal="center"/>
    </xf>
    <xf numFmtId="0" fontId="1" fillId="0" borderId="1" xfId="0" applyFont="1" applyBorder="1"/>
    <xf numFmtId="0" fontId="0" fillId="0" borderId="0" xfId="0"/>
    <xf numFmtId="0" fontId="10" fillId="0" borderId="0" xfId="0" applyFont="1"/>
    <xf numFmtId="0" fontId="12" fillId="0" borderId="1" xfId="0" applyFont="1" applyBorder="1"/>
  </cellXfs>
  <cellStyles count="7">
    <cellStyle name="Comma" xfId="1" builtinId="3"/>
    <cellStyle name="Currency" xfId="2" builtinId="4"/>
    <cellStyle name="Heading 1" xfId="5" builtinId="16"/>
    <cellStyle name="Hyperlink" xfId="3" builtinId="8"/>
    <cellStyle name="Normal" xfId="0" builtinId="0"/>
    <cellStyle name="Normal 16" xfId="6" xr:uid="{58667606-3652-4BF5-BD7F-09E8FD48F54D}"/>
    <cellStyle name="Percent" xfId="4" builtinId="5"/>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https://www.tredis.com/pdf/User_Docs/TREDIS6_Data_Sources_and_Default_Values.pdf" TargetMode="External"/><Relationship Id="rId2" Type="http://schemas.openxmlformats.org/officeDocument/2006/relationships/hyperlink" Target="https://www.tredis.com/pdf/User_Docs/TREDIS6_Data_Sources_and_Default_Values.pdf" TargetMode="External"/><Relationship Id="rId1" Type="http://schemas.openxmlformats.org/officeDocument/2006/relationships/hyperlink" Target="https://www.bts.gov/topics/national-transportation-statistics" TargetMode="External"/><Relationship Id="rId4" Type="http://schemas.openxmlformats.org/officeDocument/2006/relationships/hyperlink" Target="https://nationalwaterwaysfoundation.org/file/28/TTI%202022%20FINAL%20Report%202001-2019%2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edis.com/pdf/User_Docs/TREDIS6_Data_Sources_and_Default_Values.pdf" TargetMode="External"/><Relationship Id="rId2" Type="http://schemas.openxmlformats.org/officeDocument/2006/relationships/hyperlink" Target="https://www.tredis.com/pdf/User_Docs/TREDIS6_Data_Sources_and_Default_Values.pdf" TargetMode="External"/><Relationship Id="rId1" Type="http://schemas.openxmlformats.org/officeDocument/2006/relationships/hyperlink" Target="https://www.bts.gov/topics/national-transportation-statistics" TargetMode="External"/><Relationship Id="rId4" Type="http://schemas.openxmlformats.org/officeDocument/2006/relationships/hyperlink" Target="https://nationalwaterwaysfoundation.org/file/28/TTI%202022%20FINAL%20Report%202001-2019%201.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eia.gov/dnav/pet/pet_pri_gnd_a_epd2d_pte_dpgal_a.htm.%202021%20PADD%201C%20Diesel%20Price%20less%202021%20state%20excise%20tax%20less%202021%20federal%20excise%20tax" TargetMode="External"/><Relationship Id="rId1" Type="http://schemas.openxmlformats.org/officeDocument/2006/relationships/hyperlink" Target="http://www.nationalwaterwaysfoundation.org/NWF_2110662_PowerPointPresentation_FINAL_Smlcompressed.ppt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tredis.com/pdf/User_Docs/TREDIS6_Data_Sources_and_Default_Values.pdf" TargetMode="External"/><Relationship Id="rId2" Type="http://schemas.openxmlformats.org/officeDocument/2006/relationships/hyperlink" Target="https://www.tredis.com/pdf/User_Docs/TREDIS6_Data_Sources_and_Default_Values.pdf" TargetMode="External"/><Relationship Id="rId1" Type="http://schemas.openxmlformats.org/officeDocument/2006/relationships/hyperlink" Target="https://www.bts.gov/topics/national-transportation-statistics" TargetMode="External"/><Relationship Id="rId4" Type="http://schemas.openxmlformats.org/officeDocument/2006/relationships/hyperlink" Target="https://nationalwaterwaysfoundation.org/file/28/TTI%202022%20FINAL%20Report%202001-2019%201.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railroads.dot.gov/accident-and-incident-reporting/train-accident-reports/train-accidents-type" TargetMode="External"/><Relationship Id="rId2" Type="http://schemas.openxmlformats.org/officeDocument/2006/relationships/hyperlink" Target="https://view.officeapps.live.com/op/view.aspx?src=https%3A%2F%2Fwww.bts.gov%2Fsites%2Fbts.dot.gov%2Ffiles%2F2022-10%2Ftable_rail_profile_103122.xlsx&amp;wdOrigin=BROWSELINK" TargetMode="External"/><Relationship Id="rId1" Type="http://schemas.openxmlformats.org/officeDocument/2006/relationships/hyperlink" Target="https://railroads.dot.gov/accident-and-incident-reporting/train-accident-reports/train-accidents-type" TargetMode="External"/><Relationship Id="rId4" Type="http://schemas.openxmlformats.org/officeDocument/2006/relationships/hyperlink" Target="mailto: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N20"/>
  <sheetViews>
    <sheetView workbookViewId="0"/>
  </sheetViews>
  <sheetFormatPr defaultRowHeight="15" x14ac:dyDescent="0.25"/>
  <sheetData>
    <row r="2" spans="3:14" x14ac:dyDescent="0.25">
      <c r="C2" t="s">
        <v>0</v>
      </c>
      <c r="N2" s="1" t="s">
        <v>1</v>
      </c>
    </row>
    <row r="3" spans="3:14" x14ac:dyDescent="0.25">
      <c r="C3">
        <v>2024</v>
      </c>
      <c r="D3">
        <v>2025</v>
      </c>
      <c r="E3">
        <v>2026</v>
      </c>
      <c r="F3">
        <v>2027</v>
      </c>
      <c r="N3" t="s">
        <v>2</v>
      </c>
    </row>
    <row r="4" spans="3:14" x14ac:dyDescent="0.25">
      <c r="D4" t="s">
        <v>3</v>
      </c>
      <c r="F4" t="s">
        <v>4</v>
      </c>
      <c r="N4" t="s">
        <v>5</v>
      </c>
    </row>
    <row r="5" spans="3:14" x14ac:dyDescent="0.25">
      <c r="N5" t="s">
        <v>6</v>
      </c>
    </row>
    <row r="6" spans="3:14" x14ac:dyDescent="0.25">
      <c r="N6" t="s">
        <v>7</v>
      </c>
    </row>
    <row r="7" spans="3:14" x14ac:dyDescent="0.25">
      <c r="C7" t="s">
        <v>8</v>
      </c>
      <c r="N7" t="s">
        <v>9</v>
      </c>
    </row>
    <row r="8" spans="3:14" x14ac:dyDescent="0.25">
      <c r="C8" t="s">
        <v>10</v>
      </c>
      <c r="N8" t="s">
        <v>11</v>
      </c>
    </row>
    <row r="9" spans="3:14" x14ac:dyDescent="0.25">
      <c r="D9" t="s">
        <v>12</v>
      </c>
      <c r="N9" t="s">
        <v>13</v>
      </c>
    </row>
    <row r="10" spans="3:14" x14ac:dyDescent="0.25">
      <c r="D10" t="s">
        <v>14</v>
      </c>
      <c r="M10" t="s">
        <v>15</v>
      </c>
      <c r="N10" t="s">
        <v>16</v>
      </c>
    </row>
    <row r="11" spans="3:14" x14ac:dyDescent="0.25">
      <c r="D11" t="s">
        <v>17</v>
      </c>
    </row>
    <row r="12" spans="3:14" x14ac:dyDescent="0.25">
      <c r="D12" t="s">
        <v>18</v>
      </c>
    </row>
    <row r="13" spans="3:14" x14ac:dyDescent="0.25">
      <c r="D13" t="s">
        <v>19</v>
      </c>
    </row>
    <row r="14" spans="3:14" x14ac:dyDescent="0.25">
      <c r="C14" t="s">
        <v>20</v>
      </c>
    </row>
    <row r="15" spans="3:14" x14ac:dyDescent="0.25">
      <c r="D15" t="s">
        <v>12</v>
      </c>
    </row>
    <row r="16" spans="3:14" x14ac:dyDescent="0.25">
      <c r="D16" t="s">
        <v>14</v>
      </c>
    </row>
    <row r="17" spans="3:4" x14ac:dyDescent="0.25">
      <c r="D17" t="s">
        <v>17</v>
      </c>
    </row>
    <row r="18" spans="3:4" x14ac:dyDescent="0.25">
      <c r="D18" t="s">
        <v>18</v>
      </c>
    </row>
    <row r="19" spans="3:4" x14ac:dyDescent="0.25">
      <c r="D19" t="s">
        <v>19</v>
      </c>
    </row>
    <row r="20" spans="3:4" x14ac:dyDescent="0.25">
      <c r="C20" t="s">
        <v>21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8B4A6-EF84-406C-8A54-E1234F0E38FF}">
  <sheetPr>
    <tabColor theme="9" tint="0.79998168889431442"/>
  </sheetPr>
  <dimension ref="A2:AH83"/>
  <sheetViews>
    <sheetView workbookViewId="0">
      <selection activeCell="I18" sqref="I18"/>
    </sheetView>
  </sheetViews>
  <sheetFormatPr defaultRowHeight="15" x14ac:dyDescent="0.25"/>
  <cols>
    <col min="1" max="1" width="46" customWidth="1"/>
    <col min="2" max="2" width="18.85546875" bestFit="1" customWidth="1"/>
    <col min="3" max="3" width="11.7109375" customWidth="1"/>
    <col min="4" max="4" width="14.7109375" customWidth="1"/>
    <col min="5" max="5" width="17" customWidth="1"/>
    <col min="6" max="6" width="19" customWidth="1"/>
    <col min="7" max="7" width="22" customWidth="1"/>
    <col min="8" max="8" width="20.28515625" bestFit="1" customWidth="1"/>
    <col min="9" max="9" width="11.85546875" customWidth="1"/>
    <col min="10" max="10" width="13.7109375" customWidth="1"/>
    <col min="11" max="11" width="12.5703125" customWidth="1"/>
    <col min="13" max="13" width="12.42578125" customWidth="1"/>
    <col min="15" max="15" width="14.85546875" customWidth="1"/>
    <col min="16" max="16" width="12.28515625" customWidth="1"/>
    <col min="21" max="21" width="14" customWidth="1"/>
    <col min="22" max="23" width="11.140625" customWidth="1"/>
    <col min="24" max="24" width="14.42578125" customWidth="1"/>
    <col min="32" max="32" width="15.28515625" bestFit="1" customWidth="1"/>
    <col min="33" max="33" width="11.42578125" customWidth="1"/>
    <col min="34" max="34" width="12.140625" customWidth="1"/>
  </cols>
  <sheetData>
    <row r="2" spans="1:8" ht="30" x14ac:dyDescent="0.25">
      <c r="A2" s="87" t="s">
        <v>314</v>
      </c>
      <c r="B2" s="18">
        <v>2028</v>
      </c>
      <c r="F2" s="131"/>
    </row>
    <row r="3" spans="1:8" x14ac:dyDescent="0.25">
      <c r="A3" s="87" t="s">
        <v>316</v>
      </c>
      <c r="B3" s="18">
        <f>'Inputs &amp; Parameters'!B20</f>
        <v>131.18885700000001</v>
      </c>
      <c r="C3" t="s">
        <v>344</v>
      </c>
      <c r="F3" s="132"/>
    </row>
    <row r="4" spans="1:8" x14ac:dyDescent="0.25">
      <c r="A4" s="5" t="s">
        <v>146</v>
      </c>
      <c r="B4" s="18">
        <v>6</v>
      </c>
      <c r="C4" t="s">
        <v>386</v>
      </c>
      <c r="F4" s="132"/>
    </row>
    <row r="5" spans="1:8" x14ac:dyDescent="0.25">
      <c r="A5" s="118" t="s">
        <v>183</v>
      </c>
      <c r="B5" s="119">
        <f>'Rail Diversion (No Build) - Dry'!$B$9</f>
        <v>53.5</v>
      </c>
      <c r="C5" t="s">
        <v>307</v>
      </c>
      <c r="F5" s="132"/>
    </row>
    <row r="6" spans="1:8" x14ac:dyDescent="0.25">
      <c r="A6" s="118" t="s">
        <v>283</v>
      </c>
      <c r="B6" s="119">
        <f>'Truck Diversion (No Build)- Dry'!$B$9</f>
        <v>33.5</v>
      </c>
      <c r="C6" t="s">
        <v>308</v>
      </c>
    </row>
    <row r="7" spans="1:8" x14ac:dyDescent="0.25">
      <c r="A7" s="5" t="s">
        <v>147</v>
      </c>
      <c r="B7" s="25">
        <v>3000</v>
      </c>
      <c r="C7" t="s">
        <v>386</v>
      </c>
    </row>
    <row r="8" spans="1:8" x14ac:dyDescent="0.25">
      <c r="A8" s="5" t="s">
        <v>148</v>
      </c>
      <c r="B8" s="25">
        <f>'Inputs &amp; Parameters'!B22/'Barge (Build) - Dry'!B7/12</f>
        <v>10.207230555555556</v>
      </c>
      <c r="C8" t="s">
        <v>386</v>
      </c>
    </row>
    <row r="9" spans="1:8" x14ac:dyDescent="0.25">
      <c r="A9" s="5" t="s">
        <v>227</v>
      </c>
      <c r="B9" s="25">
        <f>B8*12*'Inputs &amp; Parameters'!B20</f>
        <v>16068.898916625703</v>
      </c>
    </row>
    <row r="10" spans="1:8" x14ac:dyDescent="0.25">
      <c r="A10" s="5" t="s">
        <v>149</v>
      </c>
      <c r="B10" s="25">
        <f>B7*'Inputs &amp; Parameters'!$B$20*$B$8+12</f>
        <v>4017236.7291564257</v>
      </c>
    </row>
    <row r="11" spans="1:8" ht="30" x14ac:dyDescent="0.25">
      <c r="A11" s="87" t="s">
        <v>343</v>
      </c>
      <c r="B11" s="17">
        <f>77000</f>
        <v>77000</v>
      </c>
      <c r="C11" t="s">
        <v>345</v>
      </c>
      <c r="H11" s="9"/>
    </row>
    <row r="12" spans="1:8" x14ac:dyDescent="0.25">
      <c r="A12" s="5" t="s">
        <v>385</v>
      </c>
      <c r="B12" s="18">
        <v>4</v>
      </c>
      <c r="C12" t="s">
        <v>386</v>
      </c>
    </row>
    <row r="14" spans="1:8" ht="48" customHeight="1" x14ac:dyDescent="0.25">
      <c r="A14" s="168" t="s">
        <v>77</v>
      </c>
      <c r="B14" s="168"/>
      <c r="C14" s="169" t="s">
        <v>78</v>
      </c>
      <c r="D14" s="169"/>
      <c r="E14" s="168" t="s">
        <v>79</v>
      </c>
      <c r="F14" s="168"/>
    </row>
    <row r="15" spans="1:8" ht="45" x14ac:dyDescent="0.25">
      <c r="A15" s="14" t="s">
        <v>80</v>
      </c>
      <c r="B15" s="15" t="s">
        <v>81</v>
      </c>
      <c r="C15" s="14" t="s">
        <v>68</v>
      </c>
      <c r="D15" s="14" t="s">
        <v>70</v>
      </c>
      <c r="E15" s="14" t="s">
        <v>68</v>
      </c>
      <c r="F15" s="14" t="s">
        <v>70</v>
      </c>
    </row>
    <row r="16" spans="1:8" x14ac:dyDescent="0.25">
      <c r="A16" s="12">
        <v>2002</v>
      </c>
      <c r="B16" s="25">
        <v>293626000000</v>
      </c>
      <c r="C16" s="25">
        <v>8</v>
      </c>
      <c r="D16" s="25">
        <v>17</v>
      </c>
      <c r="E16" s="5"/>
      <c r="F16" s="5"/>
    </row>
    <row r="17" spans="1:6" x14ac:dyDescent="0.25">
      <c r="A17" s="12">
        <v>2003</v>
      </c>
      <c r="B17" s="25">
        <v>278360000000</v>
      </c>
      <c r="C17" s="25">
        <v>2</v>
      </c>
      <c r="D17" s="25">
        <v>14</v>
      </c>
      <c r="E17" s="5"/>
      <c r="F17" s="5"/>
    </row>
    <row r="18" spans="1:6" x14ac:dyDescent="0.25">
      <c r="A18" s="12">
        <v>2004</v>
      </c>
      <c r="B18" s="25">
        <v>284162000000</v>
      </c>
      <c r="C18" s="25">
        <v>2</v>
      </c>
      <c r="D18" s="25">
        <v>34</v>
      </c>
      <c r="E18" s="5"/>
      <c r="F18" s="5"/>
    </row>
    <row r="19" spans="1:6" x14ac:dyDescent="0.25">
      <c r="A19" s="12">
        <v>2005</v>
      </c>
      <c r="B19" s="25">
        <v>274366000000</v>
      </c>
      <c r="C19" s="25">
        <v>11</v>
      </c>
      <c r="D19" s="25">
        <v>21</v>
      </c>
      <c r="E19" s="5"/>
      <c r="F19" s="5"/>
    </row>
    <row r="20" spans="1:6" x14ac:dyDescent="0.25">
      <c r="A20" s="12">
        <v>2006</v>
      </c>
      <c r="B20" s="25">
        <v>279858000000</v>
      </c>
      <c r="C20" s="25">
        <v>8</v>
      </c>
      <c r="D20" s="25">
        <v>22</v>
      </c>
      <c r="E20" s="5"/>
      <c r="F20" s="5"/>
    </row>
    <row r="21" spans="1:6" x14ac:dyDescent="0.25">
      <c r="A21" s="12">
        <v>2007</v>
      </c>
      <c r="B21" s="25"/>
      <c r="C21" s="25" t="s">
        <v>82</v>
      </c>
      <c r="D21" s="25"/>
      <c r="E21" s="5"/>
      <c r="F21" s="5"/>
    </row>
    <row r="22" spans="1:6" x14ac:dyDescent="0.25">
      <c r="A22" s="5" t="s">
        <v>83</v>
      </c>
      <c r="B22" s="5"/>
      <c r="C22" s="10">
        <v>11</v>
      </c>
      <c r="D22" s="10">
        <v>34</v>
      </c>
      <c r="E22" s="56">
        <f>C22/B19</f>
        <v>4.0092431277928022E-11</v>
      </c>
      <c r="F22" s="55">
        <f>D22/B18</f>
        <v>1.1965005876929357E-10</v>
      </c>
    </row>
    <row r="23" spans="1:6" x14ac:dyDescent="0.25">
      <c r="A23" s="196" t="s">
        <v>84</v>
      </c>
      <c r="B23" s="196"/>
      <c r="C23" s="196"/>
      <c r="D23" s="196"/>
      <c r="E23" s="196"/>
      <c r="F23" s="196"/>
    </row>
    <row r="24" spans="1:6" x14ac:dyDescent="0.25">
      <c r="A24" s="193" t="s">
        <v>85</v>
      </c>
      <c r="B24" s="193"/>
      <c r="C24" s="193"/>
      <c r="D24" s="193"/>
      <c r="E24" s="193"/>
      <c r="F24" s="193"/>
    </row>
    <row r="25" spans="1:6" x14ac:dyDescent="0.25">
      <c r="A25" s="1"/>
      <c r="B25" s="1"/>
      <c r="C25" s="1"/>
      <c r="D25" s="1"/>
      <c r="E25" s="1"/>
      <c r="F25" s="1"/>
    </row>
    <row r="26" spans="1:6" ht="20.25" thickBot="1" x14ac:dyDescent="0.35">
      <c r="A26" s="19" t="s">
        <v>103</v>
      </c>
      <c r="B26" s="27" t="s">
        <v>86</v>
      </c>
      <c r="F26" t="s">
        <v>87</v>
      </c>
    </row>
    <row r="27" spans="1:6" ht="15.75" thickTop="1" x14ac:dyDescent="0.25"/>
    <row r="28" spans="1:6" x14ac:dyDescent="0.25">
      <c r="A28" s="168" t="s">
        <v>88</v>
      </c>
      <c r="B28" s="168"/>
      <c r="C28" s="13" t="s">
        <v>30</v>
      </c>
    </row>
    <row r="29" spans="1:6" x14ac:dyDescent="0.25">
      <c r="A29" s="5" t="s">
        <v>89</v>
      </c>
      <c r="B29" s="18">
        <v>22.4</v>
      </c>
      <c r="C29" s="43" t="s">
        <v>86</v>
      </c>
    </row>
    <row r="30" spans="1:6" x14ac:dyDescent="0.25">
      <c r="A30" s="5" t="s">
        <v>90</v>
      </c>
      <c r="B30" s="24">
        <v>453.59237000000002</v>
      </c>
      <c r="C30" s="5"/>
    </row>
    <row r="31" spans="1:6" x14ac:dyDescent="0.25">
      <c r="A31" s="5" t="s">
        <v>104</v>
      </c>
      <c r="B31" s="24">
        <v>675</v>
      </c>
      <c r="C31" s="27" t="s">
        <v>91</v>
      </c>
    </row>
    <row r="32" spans="1:6" ht="30" x14ac:dyDescent="0.25">
      <c r="A32" s="87" t="s">
        <v>105</v>
      </c>
      <c r="B32" s="48">
        <f>B31/'Barge (Build) - Dry'!$B$7</f>
        <v>0.22500000000000001</v>
      </c>
      <c r="C32" s="43"/>
    </row>
    <row r="33" spans="1:25" x14ac:dyDescent="0.25">
      <c r="A33" s="5" t="s">
        <v>102</v>
      </c>
      <c r="B33" s="49">
        <f>1/B32</f>
        <v>4.4444444444444446</v>
      </c>
      <c r="C33" s="5"/>
    </row>
    <row r="34" spans="1:25" x14ac:dyDescent="0.25">
      <c r="A34" s="5" t="s">
        <v>92</v>
      </c>
      <c r="B34" s="92">
        <f>B29*B30*B33</f>
        <v>45157.640391111112</v>
      </c>
      <c r="C34" s="5"/>
    </row>
    <row r="35" spans="1:25" ht="15.75" thickBot="1" x14ac:dyDescent="0.3"/>
    <row r="36" spans="1:25" ht="30" x14ac:dyDescent="0.25">
      <c r="A36" s="139" t="s">
        <v>93</v>
      </c>
      <c r="B36" s="23">
        <v>2024</v>
      </c>
      <c r="C36" s="23">
        <f t="shared" ref="C36:Y36" si="0">B36+1</f>
        <v>2025</v>
      </c>
      <c r="D36" s="23">
        <f t="shared" si="0"/>
        <v>2026</v>
      </c>
      <c r="E36" s="23">
        <f t="shared" si="0"/>
        <v>2027</v>
      </c>
      <c r="F36" s="23">
        <f t="shared" si="0"/>
        <v>2028</v>
      </c>
      <c r="G36" s="23">
        <f t="shared" si="0"/>
        <v>2029</v>
      </c>
      <c r="H36" s="23">
        <f t="shared" si="0"/>
        <v>2030</v>
      </c>
      <c r="I36" s="23">
        <f t="shared" si="0"/>
        <v>2031</v>
      </c>
      <c r="J36" s="23">
        <f t="shared" si="0"/>
        <v>2032</v>
      </c>
      <c r="K36" s="23">
        <f t="shared" si="0"/>
        <v>2033</v>
      </c>
      <c r="L36" s="23">
        <f t="shared" si="0"/>
        <v>2034</v>
      </c>
      <c r="M36" s="23">
        <f t="shared" si="0"/>
        <v>2035</v>
      </c>
      <c r="N36" s="23">
        <f t="shared" si="0"/>
        <v>2036</v>
      </c>
      <c r="O36" s="23">
        <f t="shared" si="0"/>
        <v>2037</v>
      </c>
      <c r="P36" s="23">
        <f t="shared" si="0"/>
        <v>2038</v>
      </c>
      <c r="Q36" s="23">
        <f t="shared" si="0"/>
        <v>2039</v>
      </c>
      <c r="R36" s="23">
        <f t="shared" si="0"/>
        <v>2040</v>
      </c>
      <c r="S36" s="23">
        <f t="shared" si="0"/>
        <v>2041</v>
      </c>
      <c r="T36" s="23">
        <f t="shared" si="0"/>
        <v>2042</v>
      </c>
      <c r="U36" s="23">
        <f t="shared" si="0"/>
        <v>2043</v>
      </c>
      <c r="V36" s="23">
        <f t="shared" si="0"/>
        <v>2044</v>
      </c>
      <c r="W36" s="23">
        <f t="shared" si="0"/>
        <v>2045</v>
      </c>
      <c r="X36" s="23">
        <f t="shared" si="0"/>
        <v>2046</v>
      </c>
      <c r="Y36" s="23">
        <f t="shared" si="0"/>
        <v>2047</v>
      </c>
    </row>
    <row r="37" spans="1:25" x14ac:dyDescent="0.25">
      <c r="A37" s="21" t="s">
        <v>94</v>
      </c>
      <c r="B37" s="50">
        <f>$B$34</f>
        <v>45157.640391111112</v>
      </c>
      <c r="C37" s="50">
        <f t="shared" ref="C37:Y37" si="1">B37</f>
        <v>45157.640391111112</v>
      </c>
      <c r="D37" s="50">
        <f t="shared" si="1"/>
        <v>45157.640391111112</v>
      </c>
      <c r="E37" s="50">
        <f t="shared" si="1"/>
        <v>45157.640391111112</v>
      </c>
      <c r="F37" s="50">
        <f t="shared" si="1"/>
        <v>45157.640391111112</v>
      </c>
      <c r="G37" s="50">
        <f t="shared" si="1"/>
        <v>45157.640391111112</v>
      </c>
      <c r="H37" s="50">
        <f t="shared" si="1"/>
        <v>45157.640391111112</v>
      </c>
      <c r="I37" s="50">
        <f t="shared" si="1"/>
        <v>45157.640391111112</v>
      </c>
      <c r="J37" s="50">
        <f t="shared" si="1"/>
        <v>45157.640391111112</v>
      </c>
      <c r="K37" s="50">
        <f t="shared" si="1"/>
        <v>45157.640391111112</v>
      </c>
      <c r="L37" s="50">
        <f t="shared" si="1"/>
        <v>45157.640391111112</v>
      </c>
      <c r="M37" s="50">
        <f t="shared" si="1"/>
        <v>45157.640391111112</v>
      </c>
      <c r="N37" s="50">
        <f t="shared" si="1"/>
        <v>45157.640391111112</v>
      </c>
      <c r="O37" s="50">
        <f t="shared" si="1"/>
        <v>45157.640391111112</v>
      </c>
      <c r="P37" s="50">
        <f t="shared" si="1"/>
        <v>45157.640391111112</v>
      </c>
      <c r="Q37" s="50">
        <f t="shared" si="1"/>
        <v>45157.640391111112</v>
      </c>
      <c r="R37" s="50">
        <f t="shared" si="1"/>
        <v>45157.640391111112</v>
      </c>
      <c r="S37" s="50">
        <f t="shared" si="1"/>
        <v>45157.640391111112</v>
      </c>
      <c r="T37" s="50">
        <f t="shared" si="1"/>
        <v>45157.640391111112</v>
      </c>
      <c r="U37" s="50">
        <f t="shared" si="1"/>
        <v>45157.640391111112</v>
      </c>
      <c r="V37" s="50">
        <f t="shared" si="1"/>
        <v>45157.640391111112</v>
      </c>
      <c r="W37" s="50">
        <f t="shared" si="1"/>
        <v>45157.640391111112</v>
      </c>
      <c r="X37" s="50">
        <f t="shared" si="1"/>
        <v>45157.640391111112</v>
      </c>
      <c r="Y37" s="50">
        <f t="shared" si="1"/>
        <v>45157.640391111112</v>
      </c>
    </row>
    <row r="38" spans="1:25" x14ac:dyDescent="0.25">
      <c r="A38" s="21" t="s">
        <v>95</v>
      </c>
      <c r="B38" s="50">
        <v>0</v>
      </c>
      <c r="C38" s="50">
        <v>0</v>
      </c>
      <c r="D38" s="50">
        <v>0</v>
      </c>
      <c r="E38" s="50">
        <v>0</v>
      </c>
      <c r="F38" s="50">
        <v>0</v>
      </c>
      <c r="G38" s="50">
        <v>0</v>
      </c>
      <c r="H38" s="50">
        <v>0</v>
      </c>
      <c r="I38" s="50">
        <v>0</v>
      </c>
      <c r="J38" s="50">
        <v>0</v>
      </c>
      <c r="K38" s="50">
        <v>0</v>
      </c>
      <c r="L38" s="50">
        <v>0</v>
      </c>
      <c r="M38" s="50">
        <v>0</v>
      </c>
      <c r="N38" s="50">
        <v>0</v>
      </c>
      <c r="O38" s="50">
        <v>0</v>
      </c>
      <c r="P38" s="50">
        <v>0</v>
      </c>
      <c r="Q38" s="50">
        <v>0</v>
      </c>
      <c r="R38" s="50">
        <v>0</v>
      </c>
      <c r="S38" s="50">
        <v>0</v>
      </c>
      <c r="T38" s="50">
        <v>0</v>
      </c>
      <c r="U38" s="50">
        <v>0</v>
      </c>
      <c r="V38" s="50">
        <v>0</v>
      </c>
      <c r="W38" s="50">
        <v>0</v>
      </c>
      <c r="X38" s="50">
        <v>0</v>
      </c>
      <c r="Y38" s="50">
        <v>0</v>
      </c>
    </row>
    <row r="39" spans="1:25" x14ac:dyDescent="0.25">
      <c r="A39" s="21" t="s">
        <v>96</v>
      </c>
      <c r="B39" s="50">
        <v>0</v>
      </c>
      <c r="C39" s="50">
        <v>0</v>
      </c>
      <c r="D39" s="50">
        <v>0</v>
      </c>
      <c r="E39" s="50">
        <v>0</v>
      </c>
      <c r="F39" s="50">
        <v>0</v>
      </c>
      <c r="G39" s="50">
        <v>0</v>
      </c>
      <c r="H39" s="50">
        <v>0</v>
      </c>
      <c r="I39" s="50">
        <v>0</v>
      </c>
      <c r="J39" s="50">
        <v>0</v>
      </c>
      <c r="K39" s="50">
        <v>0</v>
      </c>
      <c r="L39" s="50">
        <v>0</v>
      </c>
      <c r="M39" s="50">
        <v>0</v>
      </c>
      <c r="N39" s="50">
        <v>0</v>
      </c>
      <c r="O39" s="50">
        <v>0</v>
      </c>
      <c r="P39" s="50">
        <v>0</v>
      </c>
      <c r="Q39" s="50">
        <v>0</v>
      </c>
      <c r="R39" s="50">
        <v>0</v>
      </c>
      <c r="S39" s="50">
        <v>0</v>
      </c>
      <c r="T39" s="50">
        <v>0</v>
      </c>
      <c r="U39" s="50">
        <v>0</v>
      </c>
      <c r="V39" s="50">
        <v>0</v>
      </c>
      <c r="W39" s="50">
        <v>0</v>
      </c>
      <c r="X39" s="50">
        <v>0</v>
      </c>
      <c r="Y39" s="50">
        <v>0</v>
      </c>
    </row>
    <row r="40" spans="1:25" x14ac:dyDescent="0.25">
      <c r="A40" s="21" t="s">
        <v>97</v>
      </c>
      <c r="B40" s="50">
        <v>0</v>
      </c>
      <c r="C40" s="50">
        <v>0</v>
      </c>
      <c r="D40" s="50">
        <v>0</v>
      </c>
      <c r="E40" s="50">
        <v>0</v>
      </c>
      <c r="F40" s="50">
        <v>0</v>
      </c>
      <c r="G40" s="50">
        <v>0</v>
      </c>
      <c r="H40" s="50">
        <v>0</v>
      </c>
      <c r="I40" s="50">
        <v>0</v>
      </c>
      <c r="J40" s="50">
        <v>0</v>
      </c>
      <c r="K40" s="50">
        <v>0</v>
      </c>
      <c r="L40" s="50">
        <v>0</v>
      </c>
      <c r="M40" s="50">
        <v>0</v>
      </c>
      <c r="N40" s="50">
        <v>0</v>
      </c>
      <c r="O40" s="50">
        <v>0</v>
      </c>
      <c r="P40" s="50">
        <v>0</v>
      </c>
      <c r="Q40" s="50">
        <v>0</v>
      </c>
      <c r="R40" s="50">
        <v>0</v>
      </c>
      <c r="S40" s="50">
        <v>0</v>
      </c>
      <c r="T40" s="50">
        <v>0</v>
      </c>
      <c r="U40" s="50">
        <v>0</v>
      </c>
      <c r="V40" s="50">
        <v>0</v>
      </c>
      <c r="W40" s="50">
        <v>0</v>
      </c>
      <c r="X40" s="50">
        <v>0</v>
      </c>
      <c r="Y40" s="50">
        <v>0</v>
      </c>
    </row>
    <row r="41" spans="1:25" x14ac:dyDescent="0.25">
      <c r="A41" s="21" t="s">
        <v>98</v>
      </c>
      <c r="B41" s="50">
        <v>0</v>
      </c>
      <c r="C41" s="50">
        <v>0</v>
      </c>
      <c r="D41" s="50">
        <v>0</v>
      </c>
      <c r="E41" s="50">
        <v>0</v>
      </c>
      <c r="F41" s="50">
        <v>0</v>
      </c>
      <c r="G41" s="50">
        <v>0</v>
      </c>
      <c r="H41" s="50">
        <v>0</v>
      </c>
      <c r="I41" s="50">
        <v>0</v>
      </c>
      <c r="J41" s="50">
        <v>0</v>
      </c>
      <c r="K41" s="50">
        <v>0</v>
      </c>
      <c r="L41" s="50">
        <v>0</v>
      </c>
      <c r="M41" s="50">
        <v>0</v>
      </c>
      <c r="N41" s="50">
        <v>0</v>
      </c>
      <c r="O41" s="50">
        <v>0</v>
      </c>
      <c r="P41" s="50">
        <v>0</v>
      </c>
      <c r="Q41" s="50">
        <v>0</v>
      </c>
      <c r="R41" s="50">
        <v>0</v>
      </c>
      <c r="S41" s="50">
        <v>0</v>
      </c>
      <c r="T41" s="50">
        <v>0</v>
      </c>
      <c r="U41" s="50">
        <v>0</v>
      </c>
      <c r="V41" s="50">
        <v>0</v>
      </c>
      <c r="W41" s="50">
        <v>0</v>
      </c>
      <c r="X41" s="50">
        <v>0</v>
      </c>
      <c r="Y41" s="50">
        <v>0</v>
      </c>
    </row>
    <row r="42" spans="1:25" ht="30" x14ac:dyDescent="0.25">
      <c r="A42" s="46" t="s">
        <v>99</v>
      </c>
      <c r="B42" s="23">
        <v>2024</v>
      </c>
      <c r="C42" s="23">
        <f t="shared" ref="C42:Y42" si="2">B42+1</f>
        <v>2025</v>
      </c>
      <c r="D42" s="23">
        <f t="shared" si="2"/>
        <v>2026</v>
      </c>
      <c r="E42" s="23">
        <f t="shared" si="2"/>
        <v>2027</v>
      </c>
      <c r="F42" s="23">
        <f t="shared" si="2"/>
        <v>2028</v>
      </c>
      <c r="G42" s="23">
        <f t="shared" si="2"/>
        <v>2029</v>
      </c>
      <c r="H42" s="23">
        <f t="shared" si="2"/>
        <v>2030</v>
      </c>
      <c r="I42" s="23">
        <f t="shared" si="2"/>
        <v>2031</v>
      </c>
      <c r="J42" s="23">
        <f t="shared" si="2"/>
        <v>2032</v>
      </c>
      <c r="K42" s="23">
        <f t="shared" si="2"/>
        <v>2033</v>
      </c>
      <c r="L42" s="23">
        <f t="shared" si="2"/>
        <v>2034</v>
      </c>
      <c r="M42" s="23">
        <f t="shared" si="2"/>
        <v>2035</v>
      </c>
      <c r="N42" s="23">
        <f t="shared" si="2"/>
        <v>2036</v>
      </c>
      <c r="O42" s="23">
        <f t="shared" si="2"/>
        <v>2037</v>
      </c>
      <c r="P42" s="23">
        <f t="shared" si="2"/>
        <v>2038</v>
      </c>
      <c r="Q42" s="23">
        <f t="shared" si="2"/>
        <v>2039</v>
      </c>
      <c r="R42" s="23">
        <f t="shared" si="2"/>
        <v>2040</v>
      </c>
      <c r="S42" s="23">
        <f t="shared" si="2"/>
        <v>2041</v>
      </c>
      <c r="T42" s="23">
        <f t="shared" si="2"/>
        <v>2042</v>
      </c>
      <c r="U42" s="23">
        <f t="shared" si="2"/>
        <v>2043</v>
      </c>
      <c r="V42" s="23">
        <f t="shared" si="2"/>
        <v>2044</v>
      </c>
      <c r="W42" s="23">
        <f t="shared" si="2"/>
        <v>2045</v>
      </c>
      <c r="X42" s="23">
        <f t="shared" si="2"/>
        <v>2046</v>
      </c>
      <c r="Y42" s="23">
        <f t="shared" si="2"/>
        <v>2047</v>
      </c>
    </row>
    <row r="43" spans="1:25" x14ac:dyDescent="0.25">
      <c r="A43" s="21" t="s">
        <v>94</v>
      </c>
      <c r="B43" s="41">
        <f>B37/'Inputs &amp; Parameters'!$B$9</f>
        <v>4.5157640391111115E-2</v>
      </c>
      <c r="C43" s="41">
        <f>C37/'Inputs &amp; Parameters'!$B$9</f>
        <v>4.5157640391111115E-2</v>
      </c>
      <c r="D43" s="41">
        <f>D37/'Inputs &amp; Parameters'!$B$9</f>
        <v>4.5157640391111115E-2</v>
      </c>
      <c r="E43" s="41">
        <f>E37/'Inputs &amp; Parameters'!$B$9</f>
        <v>4.5157640391111115E-2</v>
      </c>
      <c r="F43" s="41">
        <f>F37/'Inputs &amp; Parameters'!$B$9</f>
        <v>4.5157640391111115E-2</v>
      </c>
      <c r="G43" s="41">
        <f>G37/'Inputs &amp; Parameters'!$B$9</f>
        <v>4.5157640391111115E-2</v>
      </c>
      <c r="H43" s="41">
        <f>H37/'Inputs &amp; Parameters'!$B$9</f>
        <v>4.5157640391111115E-2</v>
      </c>
      <c r="I43" s="41">
        <f>I37/'Inputs &amp; Parameters'!$B$9</f>
        <v>4.5157640391111115E-2</v>
      </c>
      <c r="J43" s="41">
        <f>J37/'Inputs &amp; Parameters'!$B$9</f>
        <v>4.5157640391111115E-2</v>
      </c>
      <c r="K43" s="41">
        <f>K37/'Inputs &amp; Parameters'!$B$9</f>
        <v>4.5157640391111115E-2</v>
      </c>
      <c r="L43" s="41">
        <f>L37/'Inputs &amp; Parameters'!$B$9</f>
        <v>4.5157640391111115E-2</v>
      </c>
      <c r="M43" s="41">
        <f>M37/'Inputs &amp; Parameters'!$B$9</f>
        <v>4.5157640391111115E-2</v>
      </c>
      <c r="N43" s="41">
        <f>N37/'Inputs &amp; Parameters'!$B$9</f>
        <v>4.5157640391111115E-2</v>
      </c>
      <c r="O43" s="41">
        <f>O37/'Inputs &amp; Parameters'!$B$9</f>
        <v>4.5157640391111115E-2</v>
      </c>
      <c r="P43" s="41">
        <f>P37/'Inputs &amp; Parameters'!$B$9</f>
        <v>4.5157640391111115E-2</v>
      </c>
      <c r="Q43" s="41">
        <f>Q37/'Inputs &amp; Parameters'!$B$9</f>
        <v>4.5157640391111115E-2</v>
      </c>
      <c r="R43" s="41">
        <f>R37/'Inputs &amp; Parameters'!$B$9</f>
        <v>4.5157640391111115E-2</v>
      </c>
      <c r="S43" s="41">
        <f>S37/'Inputs &amp; Parameters'!$B$9</f>
        <v>4.5157640391111115E-2</v>
      </c>
      <c r="T43" s="41">
        <f>T37/'Inputs &amp; Parameters'!$B$9</f>
        <v>4.5157640391111115E-2</v>
      </c>
      <c r="U43" s="41">
        <f>U37/'Inputs &amp; Parameters'!$B$9</f>
        <v>4.5157640391111115E-2</v>
      </c>
      <c r="V43" s="41">
        <f>V37/'Inputs &amp; Parameters'!$B$9</f>
        <v>4.5157640391111115E-2</v>
      </c>
      <c r="W43" s="41">
        <f>W37/'Inputs &amp; Parameters'!$B$9</f>
        <v>4.5157640391111115E-2</v>
      </c>
      <c r="X43" s="41">
        <f>X37/'Inputs &amp; Parameters'!$B$9</f>
        <v>4.5157640391111115E-2</v>
      </c>
      <c r="Y43" s="41">
        <f>Y37/'Inputs &amp; Parameters'!$B$9</f>
        <v>4.5157640391111115E-2</v>
      </c>
    </row>
    <row r="44" spans="1:25" x14ac:dyDescent="0.25">
      <c r="A44" s="21" t="s">
        <v>95</v>
      </c>
      <c r="B44" s="41">
        <f>B38/'Inputs &amp; Parameters'!$B$9</f>
        <v>0</v>
      </c>
      <c r="C44" s="41">
        <f>C38/'Inputs &amp; Parameters'!$B$9</f>
        <v>0</v>
      </c>
      <c r="D44" s="41">
        <f>D38/'Inputs &amp; Parameters'!$B$9</f>
        <v>0</v>
      </c>
      <c r="E44" s="41">
        <f>E38/'Inputs &amp; Parameters'!$B$9</f>
        <v>0</v>
      </c>
      <c r="F44" s="41">
        <f>F38/'Inputs &amp; Parameters'!$B$9</f>
        <v>0</v>
      </c>
      <c r="G44" s="41">
        <f>G38/'Inputs &amp; Parameters'!$B$9</f>
        <v>0</v>
      </c>
      <c r="H44" s="41">
        <f>H38/'Inputs &amp; Parameters'!$B$9</f>
        <v>0</v>
      </c>
      <c r="I44" s="41">
        <f>I38/'Inputs &amp; Parameters'!$B$9</f>
        <v>0</v>
      </c>
      <c r="J44" s="41">
        <f>J38/'Inputs &amp; Parameters'!$B$9</f>
        <v>0</v>
      </c>
      <c r="K44" s="41">
        <f>K38/'Inputs &amp; Parameters'!$B$9</f>
        <v>0</v>
      </c>
      <c r="L44" s="41">
        <f>L38/'Inputs &amp; Parameters'!$B$9</f>
        <v>0</v>
      </c>
      <c r="M44" s="41">
        <f>M38/'Inputs &amp; Parameters'!$B$9</f>
        <v>0</v>
      </c>
      <c r="N44" s="41">
        <f>N38/'Inputs &amp; Parameters'!$B$9</f>
        <v>0</v>
      </c>
      <c r="O44" s="41">
        <f>O38/'Inputs &amp; Parameters'!$B$9</f>
        <v>0</v>
      </c>
      <c r="P44" s="41">
        <f>P38/'Inputs &amp; Parameters'!$B$9</f>
        <v>0</v>
      </c>
      <c r="Q44" s="41">
        <f>Q38/'Inputs &amp; Parameters'!$B$9</f>
        <v>0</v>
      </c>
      <c r="R44" s="41">
        <f>R38/'Inputs &amp; Parameters'!$B$9</f>
        <v>0</v>
      </c>
      <c r="S44" s="41">
        <f>S38/'Inputs &amp; Parameters'!$B$9</f>
        <v>0</v>
      </c>
      <c r="T44" s="41">
        <f>T38/'Inputs &amp; Parameters'!$B$9</f>
        <v>0</v>
      </c>
      <c r="U44" s="41">
        <f>U38/'Inputs &amp; Parameters'!$B$9</f>
        <v>0</v>
      </c>
      <c r="V44" s="41">
        <f>V38/'Inputs &amp; Parameters'!$B$9</f>
        <v>0</v>
      </c>
      <c r="W44" s="41">
        <f>W38/'Inputs &amp; Parameters'!$B$9</f>
        <v>0</v>
      </c>
      <c r="X44" s="41">
        <f>X38/'Inputs &amp; Parameters'!$B$9</f>
        <v>0</v>
      </c>
      <c r="Y44" s="41">
        <f>Y38/'Inputs &amp; Parameters'!$B$9</f>
        <v>0</v>
      </c>
    </row>
    <row r="45" spans="1:25" x14ac:dyDescent="0.25">
      <c r="A45" s="21" t="s">
        <v>96</v>
      </c>
      <c r="B45" s="41">
        <f>B39/'Inputs &amp; Parameters'!$B$9</f>
        <v>0</v>
      </c>
      <c r="C45" s="41">
        <f>C39/'Inputs &amp; Parameters'!$B$9</f>
        <v>0</v>
      </c>
      <c r="D45" s="41">
        <f>D39/'Inputs &amp; Parameters'!$B$9</f>
        <v>0</v>
      </c>
      <c r="E45" s="41">
        <f>E39/'Inputs &amp; Parameters'!$B$9</f>
        <v>0</v>
      </c>
      <c r="F45" s="41">
        <f>F39/'Inputs &amp; Parameters'!$B$9</f>
        <v>0</v>
      </c>
      <c r="G45" s="41">
        <f>G39/'Inputs &amp; Parameters'!$B$9</f>
        <v>0</v>
      </c>
      <c r="H45" s="41">
        <f>H39/'Inputs &amp; Parameters'!$B$9</f>
        <v>0</v>
      </c>
      <c r="I45" s="41">
        <f>I39/'Inputs &amp; Parameters'!$B$9</f>
        <v>0</v>
      </c>
      <c r="J45" s="41">
        <f>J39/'Inputs &amp; Parameters'!$B$9</f>
        <v>0</v>
      </c>
      <c r="K45" s="41">
        <f>K39/'Inputs &amp; Parameters'!$B$9</f>
        <v>0</v>
      </c>
      <c r="L45" s="41">
        <f>L39/'Inputs &amp; Parameters'!$B$9</f>
        <v>0</v>
      </c>
      <c r="M45" s="41">
        <f>M39/'Inputs &amp; Parameters'!$B$9</f>
        <v>0</v>
      </c>
      <c r="N45" s="41">
        <f>N39/'Inputs &amp; Parameters'!$B$9</f>
        <v>0</v>
      </c>
      <c r="O45" s="41">
        <f>O39/'Inputs &amp; Parameters'!$B$9</f>
        <v>0</v>
      </c>
      <c r="P45" s="41">
        <f>P39/'Inputs &amp; Parameters'!$B$9</f>
        <v>0</v>
      </c>
      <c r="Q45" s="41">
        <f>Q39/'Inputs &amp; Parameters'!$B$9</f>
        <v>0</v>
      </c>
      <c r="R45" s="41">
        <f>R39/'Inputs &amp; Parameters'!$B$9</f>
        <v>0</v>
      </c>
      <c r="S45" s="41">
        <f>S39/'Inputs &amp; Parameters'!$B$9</f>
        <v>0</v>
      </c>
      <c r="T45" s="41">
        <f>T39/'Inputs &amp; Parameters'!$B$9</f>
        <v>0</v>
      </c>
      <c r="U45" s="41">
        <f>U39/'Inputs &amp; Parameters'!$B$9</f>
        <v>0</v>
      </c>
      <c r="V45" s="41">
        <f>V39/'Inputs &amp; Parameters'!$B$9</f>
        <v>0</v>
      </c>
      <c r="W45" s="41">
        <f>W39/'Inputs &amp; Parameters'!$B$9</f>
        <v>0</v>
      </c>
      <c r="X45" s="41">
        <f>X39/'Inputs &amp; Parameters'!$B$9</f>
        <v>0</v>
      </c>
      <c r="Y45" s="41">
        <f>Y39/'Inputs &amp; Parameters'!$B$9</f>
        <v>0</v>
      </c>
    </row>
    <row r="46" spans="1:25" x14ac:dyDescent="0.25">
      <c r="A46" s="21" t="s">
        <v>97</v>
      </c>
      <c r="B46" s="41">
        <f>B40/'Inputs &amp; Parameters'!$B$9</f>
        <v>0</v>
      </c>
      <c r="C46" s="41">
        <f>C40/'Inputs &amp; Parameters'!$B$9</f>
        <v>0</v>
      </c>
      <c r="D46" s="41">
        <f>D40/'Inputs &amp; Parameters'!$B$9</f>
        <v>0</v>
      </c>
      <c r="E46" s="41">
        <f>E40/'Inputs &amp; Parameters'!$B$9</f>
        <v>0</v>
      </c>
      <c r="F46" s="41">
        <f>F40/'Inputs &amp; Parameters'!$B$9</f>
        <v>0</v>
      </c>
      <c r="G46" s="41">
        <f>G40/'Inputs &amp; Parameters'!$B$9</f>
        <v>0</v>
      </c>
      <c r="H46" s="41">
        <f>H40/'Inputs &amp; Parameters'!$B$9</f>
        <v>0</v>
      </c>
      <c r="I46" s="41">
        <f>I40/'Inputs &amp; Parameters'!$B$9</f>
        <v>0</v>
      </c>
      <c r="J46" s="41">
        <f>J40/'Inputs &amp; Parameters'!$B$9</f>
        <v>0</v>
      </c>
      <c r="K46" s="41">
        <f>K40/'Inputs &amp; Parameters'!$B$9</f>
        <v>0</v>
      </c>
      <c r="L46" s="41">
        <f>L40/'Inputs &amp; Parameters'!$B$9</f>
        <v>0</v>
      </c>
      <c r="M46" s="41">
        <f>M40/'Inputs &amp; Parameters'!$B$9</f>
        <v>0</v>
      </c>
      <c r="N46" s="41">
        <f>N40/'Inputs &amp; Parameters'!$B$9</f>
        <v>0</v>
      </c>
      <c r="O46" s="41">
        <f>O40/'Inputs &amp; Parameters'!$B$9</f>
        <v>0</v>
      </c>
      <c r="P46" s="41">
        <f>P40/'Inputs &amp; Parameters'!$B$9</f>
        <v>0</v>
      </c>
      <c r="Q46" s="41">
        <f>Q40/'Inputs &amp; Parameters'!$B$9</f>
        <v>0</v>
      </c>
      <c r="R46" s="41">
        <f>R40/'Inputs &amp; Parameters'!$B$9</f>
        <v>0</v>
      </c>
      <c r="S46" s="41">
        <f>S40/'Inputs &amp; Parameters'!$B$9</f>
        <v>0</v>
      </c>
      <c r="T46" s="41">
        <f>T40/'Inputs &amp; Parameters'!$B$9</f>
        <v>0</v>
      </c>
      <c r="U46" s="41">
        <f>U40/'Inputs &amp; Parameters'!$B$9</f>
        <v>0</v>
      </c>
      <c r="V46" s="41">
        <f>V40/'Inputs &amp; Parameters'!$B$9</f>
        <v>0</v>
      </c>
      <c r="W46" s="41">
        <f>W40/'Inputs &amp; Parameters'!$B$9</f>
        <v>0</v>
      </c>
      <c r="X46" s="41">
        <f>X40/'Inputs &amp; Parameters'!$B$9</f>
        <v>0</v>
      </c>
      <c r="Y46" s="41">
        <f>Y40/'Inputs &amp; Parameters'!$B$9</f>
        <v>0</v>
      </c>
    </row>
    <row r="47" spans="1:25" x14ac:dyDescent="0.25">
      <c r="A47" s="21" t="s">
        <v>98</v>
      </c>
      <c r="B47" s="41">
        <f>B41/'Inputs &amp; Parameters'!$B$9</f>
        <v>0</v>
      </c>
      <c r="C47" s="41">
        <f>C41/'Inputs &amp; Parameters'!$B$9</f>
        <v>0</v>
      </c>
      <c r="D47" s="41">
        <f>D41/'Inputs &amp; Parameters'!$B$9</f>
        <v>0</v>
      </c>
      <c r="E47" s="41">
        <f>E41/'Inputs &amp; Parameters'!$B$9</f>
        <v>0</v>
      </c>
      <c r="F47" s="41">
        <f>F41/'Inputs &amp; Parameters'!$B$9</f>
        <v>0</v>
      </c>
      <c r="G47" s="41">
        <f>G41/'Inputs &amp; Parameters'!$B$9</f>
        <v>0</v>
      </c>
      <c r="H47" s="41">
        <f>H41/'Inputs &amp; Parameters'!$B$9</f>
        <v>0</v>
      </c>
      <c r="I47" s="41">
        <f>I41/'Inputs &amp; Parameters'!$B$9</f>
        <v>0</v>
      </c>
      <c r="J47" s="41">
        <f>J41/'Inputs &amp; Parameters'!$B$9</f>
        <v>0</v>
      </c>
      <c r="K47" s="41">
        <f>K41/'Inputs &amp; Parameters'!$B$9</f>
        <v>0</v>
      </c>
      <c r="L47" s="41">
        <f>L41/'Inputs &amp; Parameters'!$B$9</f>
        <v>0</v>
      </c>
      <c r="M47" s="41">
        <f>M41/'Inputs &amp; Parameters'!$B$9</f>
        <v>0</v>
      </c>
      <c r="N47" s="41">
        <f>N41/'Inputs &amp; Parameters'!$B$9</f>
        <v>0</v>
      </c>
      <c r="O47" s="41">
        <f>O41/'Inputs &amp; Parameters'!$B$9</f>
        <v>0</v>
      </c>
      <c r="P47" s="41">
        <f>P41/'Inputs &amp; Parameters'!$B$9</f>
        <v>0</v>
      </c>
      <c r="Q47" s="41">
        <f>Q41/'Inputs &amp; Parameters'!$B$9</f>
        <v>0</v>
      </c>
      <c r="R47" s="41">
        <f>R41/'Inputs &amp; Parameters'!$B$9</f>
        <v>0</v>
      </c>
      <c r="S47" s="41">
        <f>S41/'Inputs &amp; Parameters'!$B$9</f>
        <v>0</v>
      </c>
      <c r="T47" s="41">
        <f>T41/'Inputs &amp; Parameters'!$B$9</f>
        <v>0</v>
      </c>
      <c r="U47" s="41">
        <f>U41/'Inputs &amp; Parameters'!$B$9</f>
        <v>0</v>
      </c>
      <c r="V47" s="41">
        <f>V41/'Inputs &amp; Parameters'!$B$9</f>
        <v>0</v>
      </c>
      <c r="W47" s="41">
        <f>W41/'Inputs &amp; Parameters'!$B$9</f>
        <v>0</v>
      </c>
      <c r="X47" s="41">
        <f>X41/'Inputs &amp; Parameters'!$B$9</f>
        <v>0</v>
      </c>
      <c r="Y47" s="41">
        <f>Y41/'Inputs &amp; Parameters'!$B$9</f>
        <v>0</v>
      </c>
    </row>
    <row r="48" spans="1:25" x14ac:dyDescent="0.25">
      <c r="A48" s="46" t="s">
        <v>100</v>
      </c>
      <c r="B48" s="23">
        <v>2024</v>
      </c>
      <c r="C48" s="23">
        <f t="shared" ref="C48:Y48" si="3">B48+1</f>
        <v>2025</v>
      </c>
      <c r="D48" s="23">
        <f t="shared" si="3"/>
        <v>2026</v>
      </c>
      <c r="E48" s="23">
        <f t="shared" si="3"/>
        <v>2027</v>
      </c>
      <c r="F48" s="23">
        <f t="shared" si="3"/>
        <v>2028</v>
      </c>
      <c r="G48" s="23">
        <f t="shared" si="3"/>
        <v>2029</v>
      </c>
      <c r="H48" s="23">
        <f t="shared" si="3"/>
        <v>2030</v>
      </c>
      <c r="I48" s="23">
        <f t="shared" si="3"/>
        <v>2031</v>
      </c>
      <c r="J48" s="23">
        <f t="shared" si="3"/>
        <v>2032</v>
      </c>
      <c r="K48" s="23">
        <f t="shared" si="3"/>
        <v>2033</v>
      </c>
      <c r="L48" s="23">
        <f t="shared" si="3"/>
        <v>2034</v>
      </c>
      <c r="M48" s="23">
        <f t="shared" si="3"/>
        <v>2035</v>
      </c>
      <c r="N48" s="23">
        <f t="shared" si="3"/>
        <v>2036</v>
      </c>
      <c r="O48" s="23">
        <f t="shared" si="3"/>
        <v>2037</v>
      </c>
      <c r="P48" s="23">
        <f t="shared" si="3"/>
        <v>2038</v>
      </c>
      <c r="Q48" s="23">
        <f t="shared" si="3"/>
        <v>2039</v>
      </c>
      <c r="R48" s="23">
        <f t="shared" si="3"/>
        <v>2040</v>
      </c>
      <c r="S48" s="23">
        <f t="shared" si="3"/>
        <v>2041</v>
      </c>
      <c r="T48" s="23">
        <f t="shared" si="3"/>
        <v>2042</v>
      </c>
      <c r="U48" s="23">
        <f t="shared" si="3"/>
        <v>2043</v>
      </c>
      <c r="V48" s="23">
        <f t="shared" si="3"/>
        <v>2044</v>
      </c>
      <c r="W48" s="23">
        <f t="shared" si="3"/>
        <v>2045</v>
      </c>
      <c r="X48" s="23">
        <f t="shared" si="3"/>
        <v>2046</v>
      </c>
      <c r="Y48" s="23">
        <f t="shared" si="3"/>
        <v>2047</v>
      </c>
    </row>
    <row r="49" spans="1:34" x14ac:dyDescent="0.25">
      <c r="A49" s="21" t="s">
        <v>94</v>
      </c>
      <c r="B49" s="6">
        <v>232.85396798284322</v>
      </c>
      <c r="C49" s="6">
        <v>237.33192890559022</v>
      </c>
      <c r="D49" s="6">
        <v>240.69039959765044</v>
      </c>
      <c r="E49" s="6">
        <v>245.16836052039741</v>
      </c>
      <c r="F49" s="6">
        <v>249.64632144314442</v>
      </c>
      <c r="G49" s="6">
        <v>253.00479213520464</v>
      </c>
      <c r="H49" s="6">
        <v>257.48275305795164</v>
      </c>
      <c r="I49" s="6">
        <v>261.96071398069864</v>
      </c>
      <c r="J49" s="6">
        <v>265.31918467275887</v>
      </c>
      <c r="K49" s="6">
        <v>269.79714559550587</v>
      </c>
      <c r="L49" s="6">
        <v>274.27510651825281</v>
      </c>
      <c r="M49" s="6">
        <v>277.63357721031309</v>
      </c>
      <c r="N49" s="6">
        <v>282.11153813306004</v>
      </c>
      <c r="O49" s="6">
        <v>286.58949905580704</v>
      </c>
      <c r="P49" s="6">
        <v>289.94796974786726</v>
      </c>
      <c r="Q49" s="6">
        <v>294.42593067061426</v>
      </c>
      <c r="R49" s="6">
        <v>298.90389159336127</v>
      </c>
      <c r="S49" s="6">
        <v>303.38185251610821</v>
      </c>
      <c r="T49" s="6">
        <v>307.85981343885521</v>
      </c>
      <c r="U49" s="6">
        <v>312.33777436160221</v>
      </c>
      <c r="V49" s="6">
        <v>316.81573528434916</v>
      </c>
      <c r="W49" s="6">
        <v>321.29369620709616</v>
      </c>
      <c r="X49" s="6">
        <v>325.77165712984316</v>
      </c>
      <c r="Y49" s="6">
        <v>331.36910828327689</v>
      </c>
    </row>
    <row r="50" spans="1:34" x14ac:dyDescent="0.25">
      <c r="A50" s="21" t="s">
        <v>95</v>
      </c>
      <c r="B50" s="6">
        <v>20100</v>
      </c>
      <c r="C50" s="6">
        <v>20300</v>
      </c>
      <c r="D50" s="6">
        <v>20600</v>
      </c>
      <c r="E50" s="6">
        <v>21000</v>
      </c>
      <c r="F50" s="6">
        <v>21300</v>
      </c>
      <c r="G50" s="6">
        <v>21700</v>
      </c>
      <c r="H50" s="6">
        <v>22000</v>
      </c>
      <c r="I50" s="6">
        <v>22000</v>
      </c>
      <c r="J50" s="6">
        <v>22000</v>
      </c>
      <c r="K50" s="6">
        <v>22000</v>
      </c>
      <c r="L50" s="6">
        <v>22000</v>
      </c>
      <c r="M50" s="6">
        <v>22000</v>
      </c>
      <c r="N50" s="6">
        <v>22000</v>
      </c>
      <c r="O50" s="6">
        <v>22000</v>
      </c>
      <c r="P50" s="6">
        <v>22000</v>
      </c>
      <c r="Q50" s="6">
        <v>22000</v>
      </c>
      <c r="R50" s="6">
        <v>22000</v>
      </c>
      <c r="S50" s="6">
        <v>22000</v>
      </c>
      <c r="T50" s="6">
        <v>22000</v>
      </c>
      <c r="U50" s="6">
        <v>22000</v>
      </c>
      <c r="V50" s="6">
        <v>22000</v>
      </c>
      <c r="W50" s="6">
        <v>22000</v>
      </c>
      <c r="X50" s="6">
        <v>22000</v>
      </c>
      <c r="Y50" s="6">
        <v>22000</v>
      </c>
    </row>
    <row r="51" spans="1:34" x14ac:dyDescent="0.25">
      <c r="A51" s="21" t="s">
        <v>96</v>
      </c>
      <c r="B51" s="6">
        <v>963200</v>
      </c>
      <c r="C51" s="6">
        <v>975500</v>
      </c>
      <c r="D51" s="6">
        <v>993500</v>
      </c>
      <c r="E51" s="6">
        <v>1011900</v>
      </c>
      <c r="F51" s="6">
        <v>1030600</v>
      </c>
      <c r="G51" s="6">
        <v>1049600</v>
      </c>
      <c r="H51" s="6">
        <v>1069000</v>
      </c>
      <c r="I51" s="6">
        <v>1069000</v>
      </c>
      <c r="J51" s="6">
        <v>1069000</v>
      </c>
      <c r="K51" s="6">
        <v>1069000</v>
      </c>
      <c r="L51" s="6">
        <v>1069000</v>
      </c>
      <c r="M51" s="6">
        <v>1069000</v>
      </c>
      <c r="N51" s="6">
        <v>1069000</v>
      </c>
      <c r="O51" s="6">
        <v>1069000</v>
      </c>
      <c r="P51" s="6">
        <v>1069000</v>
      </c>
      <c r="Q51" s="6">
        <v>1069000</v>
      </c>
      <c r="R51" s="6">
        <v>1069000</v>
      </c>
      <c r="S51" s="6">
        <v>1069000</v>
      </c>
      <c r="T51" s="6">
        <v>1069000</v>
      </c>
      <c r="U51" s="6">
        <v>1069000</v>
      </c>
      <c r="V51" s="6">
        <v>1069000</v>
      </c>
      <c r="W51" s="6">
        <v>1069000</v>
      </c>
      <c r="X51" s="6">
        <v>1069000</v>
      </c>
      <c r="Y51" s="6">
        <v>1069000</v>
      </c>
    </row>
    <row r="52" spans="1:34" x14ac:dyDescent="0.25">
      <c r="A52" s="21" t="s">
        <v>97</v>
      </c>
      <c r="B52" s="6">
        <v>53800</v>
      </c>
      <c r="C52" s="6">
        <v>54800</v>
      </c>
      <c r="D52" s="6">
        <v>56100</v>
      </c>
      <c r="E52" s="6">
        <v>57400</v>
      </c>
      <c r="F52" s="6">
        <v>58700</v>
      </c>
      <c r="G52" s="6">
        <v>60100</v>
      </c>
      <c r="H52" s="6">
        <v>61500</v>
      </c>
      <c r="I52" s="6">
        <v>61500</v>
      </c>
      <c r="J52" s="6">
        <v>61500</v>
      </c>
      <c r="K52" s="6">
        <v>61500</v>
      </c>
      <c r="L52" s="6">
        <v>61500</v>
      </c>
      <c r="M52" s="6">
        <v>61500</v>
      </c>
      <c r="N52" s="6">
        <v>61500</v>
      </c>
      <c r="O52" s="6">
        <v>61500</v>
      </c>
      <c r="P52" s="6">
        <v>61500</v>
      </c>
      <c r="Q52" s="6">
        <v>61500</v>
      </c>
      <c r="R52" s="6">
        <v>61500</v>
      </c>
      <c r="S52" s="6">
        <v>61500</v>
      </c>
      <c r="T52" s="6">
        <v>61500</v>
      </c>
      <c r="U52" s="6">
        <v>61500</v>
      </c>
      <c r="V52" s="6">
        <v>61500</v>
      </c>
      <c r="W52" s="6">
        <v>61500</v>
      </c>
      <c r="X52" s="6">
        <v>61500</v>
      </c>
      <c r="Y52" s="6">
        <v>61500</v>
      </c>
    </row>
    <row r="53" spans="1:34" ht="15.75" thickBot="1" x14ac:dyDescent="0.3">
      <c r="A53" s="22" t="s">
        <v>98</v>
      </c>
      <c r="B53" s="6">
        <v>2500</v>
      </c>
      <c r="C53" s="6">
        <v>2500</v>
      </c>
      <c r="D53" s="6">
        <v>2500</v>
      </c>
      <c r="E53" s="6">
        <v>2500</v>
      </c>
      <c r="F53" s="6">
        <v>2500</v>
      </c>
      <c r="G53" s="6">
        <v>2500</v>
      </c>
      <c r="H53" s="6">
        <v>2500</v>
      </c>
      <c r="I53" s="6">
        <v>2500</v>
      </c>
      <c r="J53" s="6">
        <v>2500</v>
      </c>
      <c r="K53" s="6">
        <v>2500</v>
      </c>
      <c r="L53" s="6">
        <v>2500</v>
      </c>
      <c r="M53" s="6">
        <v>2500</v>
      </c>
      <c r="N53" s="6">
        <v>2500</v>
      </c>
      <c r="O53" s="6">
        <v>2500</v>
      </c>
      <c r="P53" s="6">
        <v>2500</v>
      </c>
      <c r="Q53" s="6">
        <v>2500</v>
      </c>
      <c r="R53" s="6">
        <v>2500</v>
      </c>
      <c r="S53" s="6">
        <v>2500</v>
      </c>
      <c r="T53" s="6">
        <v>2500</v>
      </c>
      <c r="U53" s="6">
        <v>2500</v>
      </c>
      <c r="V53" s="6">
        <v>2500</v>
      </c>
      <c r="W53" s="6">
        <v>2500</v>
      </c>
      <c r="X53" s="6">
        <v>2500</v>
      </c>
      <c r="Y53" s="6">
        <v>2500</v>
      </c>
    </row>
    <row r="54" spans="1:34" x14ac:dyDescent="0.25">
      <c r="A54" s="4" t="s">
        <v>101</v>
      </c>
    </row>
    <row r="55" spans="1:34" x14ac:dyDescent="0.25">
      <c r="B55" s="76"/>
    </row>
    <row r="56" spans="1:34" ht="20.25" thickBot="1" x14ac:dyDescent="0.35">
      <c r="A56" s="19" t="s">
        <v>186</v>
      </c>
      <c r="B56" s="76"/>
    </row>
    <row r="57" spans="1:34" ht="15.75" thickTop="1" x14ac:dyDescent="0.25">
      <c r="F57" s="7"/>
    </row>
    <row r="58" spans="1:34" s="74" customFormat="1" ht="45" x14ac:dyDescent="0.25">
      <c r="A58" s="137" t="s">
        <v>80</v>
      </c>
      <c r="B58" s="15" t="s">
        <v>150</v>
      </c>
      <c r="C58" s="15" t="s">
        <v>194</v>
      </c>
      <c r="D58" s="15" t="s">
        <v>195</v>
      </c>
      <c r="F58" s="15" t="s">
        <v>151</v>
      </c>
      <c r="G58" s="15" t="s">
        <v>330</v>
      </c>
      <c r="H58" s="15" t="s">
        <v>226</v>
      </c>
      <c r="I58" s="15" t="s">
        <v>331</v>
      </c>
      <c r="J58" s="15" t="s">
        <v>228</v>
      </c>
      <c r="K58" s="15" t="s">
        <v>332</v>
      </c>
      <c r="L58" s="15" t="s">
        <v>44</v>
      </c>
      <c r="M58" s="15" t="s">
        <v>141</v>
      </c>
      <c r="O58" s="15" t="s">
        <v>94</v>
      </c>
      <c r="P58" s="15" t="s">
        <v>320</v>
      </c>
      <c r="Q58" s="15" t="s">
        <v>95</v>
      </c>
      <c r="R58" s="15" t="s">
        <v>335</v>
      </c>
      <c r="S58" s="15" t="s">
        <v>96</v>
      </c>
      <c r="T58" s="15" t="s">
        <v>334</v>
      </c>
      <c r="U58" s="15" t="s">
        <v>97</v>
      </c>
      <c r="V58" s="15" t="s">
        <v>333</v>
      </c>
      <c r="W58" s="15" t="s">
        <v>44</v>
      </c>
      <c r="X58" s="15" t="s">
        <v>141</v>
      </c>
      <c r="Z58" s="15" t="s">
        <v>127</v>
      </c>
      <c r="AA58" s="15" t="s">
        <v>328</v>
      </c>
      <c r="AB58" s="15" t="s">
        <v>140</v>
      </c>
      <c r="AC58" s="15" t="s">
        <v>327</v>
      </c>
      <c r="AD58" s="15" t="s">
        <v>44</v>
      </c>
      <c r="AE58" s="15" t="s">
        <v>141</v>
      </c>
      <c r="AG58" s="15" t="s">
        <v>44</v>
      </c>
      <c r="AH58" s="15" t="s">
        <v>141</v>
      </c>
    </row>
    <row r="59" spans="1:34" x14ac:dyDescent="0.25">
      <c r="A59" s="84">
        <f>B2</f>
        <v>2028</v>
      </c>
      <c r="B59" s="85">
        <f>$B$8*12</f>
        <v>122.48676666666668</v>
      </c>
      <c r="C59" s="85">
        <f>B59*'Inputs &amp; Parameters'!$C$20/60</f>
        <v>2204.7618000000002</v>
      </c>
      <c r="D59" s="85">
        <f>B59*'Inputs &amp; Parameters'!$B$20</f>
        <v>16068.898916625703</v>
      </c>
      <c r="E59" s="91"/>
      <c r="F59" s="86">
        <f>(($B$9/$B$32)*'Inputs &amp; Parameters'!$B$7)+(('Barge - Liquid'!$B$68*$B$12)/'Barge - Liquid'!$B$67)</f>
        <v>2183471.1169636063</v>
      </c>
      <c r="G59" s="86">
        <f>(($B$9/$B$32)*'Inputs &amp; Parameters'!$B$7)+(('Barge - Liquid'!$B$68*4)/'Barge - Liquid'!$B$67)*VLOOKUP(A59,NPV!$B$4:$D$44,2,0)</f>
        <v>1848715.6017311106</v>
      </c>
      <c r="H59" s="86">
        <f>SUM(($B$4-1)*C59*$B$6,1*C59*$B$5)</f>
        <v>487252.35780000006</v>
      </c>
      <c r="I59" s="86">
        <f>SUM(($B$4-1)*C59*$B$6,1*C59*$B$5)*VLOOKUP(A59,NPV!$B$4:$D$44,2,0)</f>
        <v>405697.15075820638</v>
      </c>
      <c r="J59" s="86">
        <f>$B$11*0.5</f>
        <v>38500</v>
      </c>
      <c r="K59" s="86">
        <f>$B$11*0.5*VLOOKUP(A59,NPV!$B$4:$D$44,2,0)</f>
        <v>32055.956331774458</v>
      </c>
      <c r="L59" s="86"/>
      <c r="M59" s="86">
        <f>SUM(G59,I59,K59)</f>
        <v>2286468.7088210918</v>
      </c>
      <c r="N59" s="8"/>
      <c r="O59" s="86">
        <f>$D59*HLOOKUP($A59,'Barge (Build) - Dry'!$A$42:$Y$47,2,FALSE)*HLOOKUP($A59,'Barge (Build) - Dry'!$A$48:$Y$53,2,FALSE)</f>
        <v>181151.74865965708</v>
      </c>
      <c r="P59" s="86">
        <f>$D59*HLOOKUP($A59,'Barge (Build) - Dry'!$A$42:$Y$47,2,FALSE)*HLOOKUP($A59,'Barge (Build) - Dry'!$A$48:$Y$53,2,FALSE)*VLOOKUP(A59,NPV!$B$4:$D$44,3,0)</f>
        <v>160857.56864276135</v>
      </c>
      <c r="Q59" s="86">
        <f>$D59*HLOOKUP($A59,'Barge (Build) - Dry'!$A$42:$Y$47,3,FALSE)*HLOOKUP($A59,'Barge (Build) - Dry'!$A$48:$Y$53,3,FALSE)</f>
        <v>0</v>
      </c>
      <c r="R59" s="86">
        <f>$D59*HLOOKUP($A59,'Barge (Build) - Dry'!$A$42:$Y$47,3,FALSE)*HLOOKUP($A59,'Barge (Build) - Dry'!$A$48:$Y$53,3,FALSE)*VLOOKUP(A59,NPV!$B$4:$D$44,2,0)</f>
        <v>0</v>
      </c>
      <c r="S59" s="86">
        <f>$D59*HLOOKUP($A59,'Barge (Build) - Dry'!$A$42:$Y$47,4,FALSE)*HLOOKUP($A59,'Barge (Build) - Dry'!$A$48:$Y$53,4,FALSE)</f>
        <v>0</v>
      </c>
      <c r="T59" s="86">
        <f>$D59*HLOOKUP($A59,'Barge (Build) - Dry'!$A$42:$Y$47,4,FALSE)*HLOOKUP($A59,'Barge (Build) - Dry'!$A$48:$Y$53,4,FALSE)*VLOOKUP(A59,NPV!$B$4:$D$44,2,0)</f>
        <v>0</v>
      </c>
      <c r="U59" s="86">
        <f>$D59*HLOOKUP($A59,'Barge (Build) - Dry'!$A$42:$Y$47,5,FALSE)*HLOOKUP($A59,'Barge (Build) - Dry'!$A$48:$Y$53,5,FALSE)</f>
        <v>0</v>
      </c>
      <c r="V59" s="86">
        <f>$D59*HLOOKUP($A59,'Barge (Build) - Dry'!$A$42:$Y$47,5,FALSE)*HLOOKUP($A59,'Barge (Build) - Dry'!$A$48:$Y$53,5,FALSE)*VLOOKUP(A59,NPV!$B$4:$D$44,2,0)</f>
        <v>0</v>
      </c>
      <c r="W59" s="86">
        <f>SUM(O59,Q59,S59,U59)</f>
        <v>181151.74865965708</v>
      </c>
      <c r="X59" s="86">
        <f>SUM(P59,R59,T59,V59)</f>
        <v>160857.56864276135</v>
      </c>
      <c r="Z59" s="86">
        <f>$B$10*'Barge (Build) - Dry'!$F$22*'Inputs &amp; Parameters'!$B$45</f>
        <v>104.59218409565987</v>
      </c>
      <c r="AA59" s="86">
        <f>$B$10*'Barge (Build) - Dry'!$F$22*'Inputs &amp; Parameters'!$B$45*VLOOKUP(A59,NPV!$B$4:$D$44,2,0)</f>
        <v>87.085778857542536</v>
      </c>
      <c r="AB59" s="86">
        <f>$B$10*'Barge (Build) - Dry'!$E$22*'Inputs &amp; Parameters'!$B$44</f>
        <v>2013.2598436359044</v>
      </c>
      <c r="AC59" s="86">
        <f>$B$10*'Barge (Build) - Dry'!$E$22*'Inputs &amp; Parameters'!$B$44*VLOOKUP(A59,NPV!$B$4:$D$44,2,0)</f>
        <v>1676.284925509289</v>
      </c>
      <c r="AD59" s="86">
        <f>SUM(Z59,AB59)</f>
        <v>2117.8520277315642</v>
      </c>
      <c r="AE59" s="86">
        <f>SUM(AA59,AC59)</f>
        <v>1763.3707043668314</v>
      </c>
      <c r="AF59" s="149"/>
      <c r="AG59" s="86">
        <f t="shared" ref="AG59:AG78" si="4">SUM(L59,W59,AD59)</f>
        <v>183269.60068738865</v>
      </c>
      <c r="AH59" s="86">
        <f t="shared" ref="AH59:AH78" si="5">SUM(M59,X59,AE59)</f>
        <v>2449089.6481682202</v>
      </c>
    </row>
    <row r="60" spans="1:34" x14ac:dyDescent="0.25">
      <c r="A60" s="5">
        <f>A59+1</f>
        <v>2029</v>
      </c>
      <c r="B60" s="10">
        <f t="shared" ref="B60:B78" si="6">$B$8*12</f>
        <v>122.48676666666668</v>
      </c>
      <c r="C60" s="10">
        <f>B60*'Inputs &amp; Parameters'!$C$20/60</f>
        <v>2204.7618000000002</v>
      </c>
      <c r="D60" s="10">
        <f>B60*'Inputs &amp; Parameters'!$B$20</f>
        <v>16068.898916625703</v>
      </c>
      <c r="E60" s="91"/>
      <c r="F60" s="86">
        <f>(($B$9/$B$32)*'Inputs &amp; Parameters'!$B$7)+(('Barge - Liquid'!$B$68*$B$12)/'Barge - Liquid'!$B$67)</f>
        <v>2183471.1169636063</v>
      </c>
      <c r="G60" s="86">
        <f>(($B$9/$B$32)*'Inputs &amp; Parameters'!$B$7)+(('Barge - Liquid'!$B$68*4)/'Barge - Liquid'!$B$67)*VLOOKUP(A60,NPV!$B$4:$D$44,2,0)</f>
        <v>1798645.205001923</v>
      </c>
      <c r="H60" s="86">
        <f t="shared" ref="H60:H78" si="7">SUM(($B$4-1)*C60*$B$6,1*C60*$B$5)</f>
        <v>487252.35780000006</v>
      </c>
      <c r="I60" s="86">
        <f>SUM(($B$4-1)*C60*$B$6,1*C60*$B$5)*VLOOKUP(A60,NPV!$B$4:$D$44,2,0)</f>
        <v>393498.69132706732</v>
      </c>
      <c r="J60" s="86">
        <f t="shared" ref="J60:J78" si="8">$B$11*0.5</f>
        <v>38500</v>
      </c>
      <c r="K60" s="86">
        <f>$B$11*0.5*VLOOKUP(A60,NPV!$B$4:$D$44,2,0)</f>
        <v>31092.101194737599</v>
      </c>
      <c r="L60" s="86"/>
      <c r="M60" s="86">
        <f t="shared" ref="M60:M78" si="9">SUM(G60,I60,K60)</f>
        <v>2223235.9975237278</v>
      </c>
      <c r="N60" s="8"/>
      <c r="O60" s="86">
        <f>$D60*HLOOKUP($A60,'Barge (Build) - Dry'!$A$42:$Y$47,2,FALSE)*HLOOKUP($A60,'Barge (Build) - Dry'!$A$48:$Y$53,2,FALSE)</f>
        <v>183588.7676999215</v>
      </c>
      <c r="P60" s="86">
        <f>$D60*HLOOKUP($A60,'Barge (Build) - Dry'!$A$42:$Y$47,2,FALSE)*HLOOKUP($A60,'Barge (Build) - Dry'!$A$48:$Y$53,2,FALSE)*VLOOKUP(A60,NPV!$B$4:$D$44,3,0)</f>
        <v>159825.07040035201</v>
      </c>
      <c r="Q60" s="86">
        <f>$D60*HLOOKUP($A60,'Barge (Build) - Dry'!$A$42:$Y$47,3,FALSE)*HLOOKUP($A60,'Barge (Build) - Dry'!$A$48:$Y$53,3,FALSE)</f>
        <v>0</v>
      </c>
      <c r="R60" s="86">
        <f>$D60*HLOOKUP($A60,'Barge (Build) - Dry'!$A$42:$Y$47,3,FALSE)*HLOOKUP($A60,'Barge (Build) - Dry'!$A$48:$Y$53,3,FALSE)*VLOOKUP(A60,NPV!$B$4:$D$44,2,0)</f>
        <v>0</v>
      </c>
      <c r="S60" s="86">
        <f>$D60*HLOOKUP($A60,'Barge (Build) - Dry'!$A$42:$Y$47,4,FALSE)*HLOOKUP($A60,'Barge (Build) - Dry'!$A$48:$Y$53,4,FALSE)</f>
        <v>0</v>
      </c>
      <c r="T60" s="86">
        <f>$D60*HLOOKUP($A60,'Barge (Build) - Dry'!$A$42:$Y$47,4,FALSE)*HLOOKUP($A60,'Barge (Build) - Dry'!$A$48:$Y$53,4,FALSE)*VLOOKUP(A60,NPV!$B$4:$D$44,2,0)</f>
        <v>0</v>
      </c>
      <c r="U60" s="86">
        <f>$D60*HLOOKUP($A60,'Barge (Build) - Dry'!$A$42:$Y$47,5,FALSE)*HLOOKUP($A60,'Barge (Build) - Dry'!$A$48:$Y$53,5,FALSE)</f>
        <v>0</v>
      </c>
      <c r="V60" s="86">
        <f>$D60*HLOOKUP($A60,'Barge (Build) - Dry'!$A$42:$Y$47,5,FALSE)*HLOOKUP($A60,'Barge (Build) - Dry'!$A$48:$Y$53,5,FALSE)*VLOOKUP(A60,NPV!$B$4:$D$44,2,0)</f>
        <v>0</v>
      </c>
      <c r="W60" s="86">
        <f t="shared" ref="W60:W78" si="10">SUM(O60,Q60,S60,U60)</f>
        <v>183588.7676999215</v>
      </c>
      <c r="X60" s="86">
        <f t="shared" ref="X60:X78" si="11">SUM(P60,R60,T60,V60)</f>
        <v>159825.07040035201</v>
      </c>
      <c r="Z60" s="86">
        <f>$B$10*'Barge (Build) - Dry'!$F$22*'Inputs &amp; Parameters'!$B$45</f>
        <v>104.59218409565987</v>
      </c>
      <c r="AA60" s="86">
        <f>$B$10*'Barge (Build) - Dry'!$F$22*'Inputs &amp; Parameters'!$B$45*VLOOKUP(A60,NPV!$B$4:$D$44,2,0)</f>
        <v>84.467292781321589</v>
      </c>
      <c r="AB60" s="86">
        <f>$B$10*'Barge (Build) - Dry'!$E$22*'Inputs &amp; Parameters'!$B$44</f>
        <v>2013.2598436359044</v>
      </c>
      <c r="AC60" s="86">
        <f>$B$10*'Barge (Build) - Dry'!$E$22*'Inputs &amp; Parameters'!$B$44*VLOOKUP(A60,NPV!$B$4:$D$44,2,0)</f>
        <v>1625.8825659643931</v>
      </c>
      <c r="AD60" s="86">
        <f t="shared" ref="AD60:AD78" si="12">SUM(Z60,AB60)</f>
        <v>2117.8520277315642</v>
      </c>
      <c r="AE60" s="86">
        <f t="shared" ref="AE60:AE78" si="13">SUM(AA60,AC60)</f>
        <v>1710.3498587457148</v>
      </c>
      <c r="AF60" s="149"/>
      <c r="AG60" s="86">
        <f t="shared" si="4"/>
        <v>185706.61972765307</v>
      </c>
      <c r="AH60" s="86">
        <f t="shared" si="5"/>
        <v>2384771.4177828259</v>
      </c>
    </row>
    <row r="61" spans="1:34" x14ac:dyDescent="0.25">
      <c r="A61" s="5">
        <f t="shared" ref="A61:A78" si="14">A60+1</f>
        <v>2030</v>
      </c>
      <c r="B61" s="10">
        <f t="shared" si="6"/>
        <v>122.48676666666668</v>
      </c>
      <c r="C61" s="10">
        <f>B61*'Inputs &amp; Parameters'!$C$20/60</f>
        <v>2204.7618000000002</v>
      </c>
      <c r="D61" s="10">
        <f>B61*'Inputs &amp; Parameters'!$B$20</f>
        <v>16068.898916625703</v>
      </c>
      <c r="E61" s="91"/>
      <c r="F61" s="86">
        <f>(($B$9/$B$32)*'Inputs &amp; Parameters'!$B$7)+(('Barge - Liquid'!$B$68*$B$12)/'Barge - Liquid'!$B$67)</f>
        <v>2183471.1169636063</v>
      </c>
      <c r="G61" s="86">
        <f>(($B$9/$B$32)*'Inputs &amp; Parameters'!$B$7)+(('Barge - Liquid'!$B$68*4)/'Barge - Liquid'!$B$67)*VLOOKUP(A61,NPV!$B$4:$D$44,2,0)</f>
        <v>1750080.3197165809</v>
      </c>
      <c r="H61" s="86">
        <f t="shared" si="7"/>
        <v>487252.35780000006</v>
      </c>
      <c r="I61" s="86">
        <f>SUM(($B$4-1)*C61*$B$6,1*C61*$B$5)*VLOOKUP(A61,NPV!$B$4:$D$44,2,0)</f>
        <v>381667.01389628259</v>
      </c>
      <c r="J61" s="86">
        <f t="shared" si="8"/>
        <v>38500</v>
      </c>
      <c r="K61" s="86">
        <f>$B$11*0.5*VLOOKUP(A61,NPV!$B$4:$D$44,2,0)</f>
        <v>30157.227152994761</v>
      </c>
      <c r="L61" s="86"/>
      <c r="M61" s="86">
        <f t="shared" si="9"/>
        <v>2161904.5607658583</v>
      </c>
      <c r="N61" s="8"/>
      <c r="O61" s="86">
        <f>$D61*HLOOKUP($A61,'Barge (Build) - Dry'!$A$42:$Y$47,2,FALSE)*HLOOKUP($A61,'Barge (Build) - Dry'!$A$48:$Y$53,2,FALSE)</f>
        <v>186838.12642027411</v>
      </c>
      <c r="P61" s="86">
        <f>$D61*HLOOKUP($A61,'Barge (Build) - Dry'!$A$42:$Y$47,2,FALSE)*HLOOKUP($A61,'Barge (Build) - Dry'!$A$48:$Y$53,2,FALSE)*VLOOKUP(A61,NPV!$B$4:$D$44,3,0)</f>
        <v>159464.54187090477</v>
      </c>
      <c r="Q61" s="86">
        <f>$D61*HLOOKUP($A61,'Barge (Build) - Dry'!$A$42:$Y$47,3,FALSE)*HLOOKUP($A61,'Barge (Build) - Dry'!$A$48:$Y$53,3,FALSE)</f>
        <v>0</v>
      </c>
      <c r="R61" s="86">
        <f>$D61*HLOOKUP($A61,'Barge (Build) - Dry'!$A$42:$Y$47,3,FALSE)*HLOOKUP($A61,'Barge (Build) - Dry'!$A$48:$Y$53,3,FALSE)*VLOOKUP(A61,NPV!$B$4:$D$44,2,0)</f>
        <v>0</v>
      </c>
      <c r="S61" s="86">
        <f>$D61*HLOOKUP($A61,'Barge (Build) - Dry'!$A$42:$Y$47,4,FALSE)*HLOOKUP($A61,'Barge (Build) - Dry'!$A$48:$Y$53,4,FALSE)</f>
        <v>0</v>
      </c>
      <c r="T61" s="86">
        <f>$D61*HLOOKUP($A61,'Barge (Build) - Dry'!$A$42:$Y$47,4,FALSE)*HLOOKUP($A61,'Barge (Build) - Dry'!$A$48:$Y$53,4,FALSE)*VLOOKUP(A61,NPV!$B$4:$D$44,2,0)</f>
        <v>0</v>
      </c>
      <c r="U61" s="86">
        <f>$D61*HLOOKUP($A61,'Barge (Build) - Dry'!$A$42:$Y$47,5,FALSE)*HLOOKUP($A61,'Barge (Build) - Dry'!$A$48:$Y$53,5,FALSE)</f>
        <v>0</v>
      </c>
      <c r="V61" s="86">
        <f>$D61*HLOOKUP($A61,'Barge (Build) - Dry'!$A$42:$Y$47,5,FALSE)*HLOOKUP($A61,'Barge (Build) - Dry'!$A$48:$Y$53,5,FALSE)*VLOOKUP(A61,NPV!$B$4:$D$44,2,0)</f>
        <v>0</v>
      </c>
      <c r="W61" s="86">
        <f t="shared" si="10"/>
        <v>186838.12642027411</v>
      </c>
      <c r="X61" s="86">
        <f t="shared" si="11"/>
        <v>159464.54187090477</v>
      </c>
      <c r="Z61" s="86">
        <f>$B$10*'Barge (Build) - Dry'!$F$22*'Inputs &amp; Parameters'!$B$45</f>
        <v>104.59218409565987</v>
      </c>
      <c r="AA61" s="86">
        <f>$B$10*'Barge (Build) - Dry'!$F$22*'Inputs &amp; Parameters'!$B$45*VLOOKUP(A61,NPV!$B$4:$D$44,2,0)</f>
        <v>81.927539070147034</v>
      </c>
      <c r="AB61" s="86">
        <f>$B$10*'Barge (Build) - Dry'!$E$22*'Inputs &amp; Parameters'!$B$44</f>
        <v>2013.2598436359044</v>
      </c>
      <c r="AC61" s="86">
        <f>$B$10*'Barge (Build) - Dry'!$E$22*'Inputs &amp; Parameters'!$B$44*VLOOKUP(A61,NPV!$B$4:$D$44,2,0)</f>
        <v>1576.9956992865111</v>
      </c>
      <c r="AD61" s="86">
        <f t="shared" si="12"/>
        <v>2117.8520277315642</v>
      </c>
      <c r="AE61" s="86">
        <f t="shared" si="13"/>
        <v>1658.9232383566582</v>
      </c>
      <c r="AF61" s="149"/>
      <c r="AG61" s="86">
        <f t="shared" si="4"/>
        <v>188955.97844800568</v>
      </c>
      <c r="AH61" s="86">
        <f t="shared" si="5"/>
        <v>2323028.0258751195</v>
      </c>
    </row>
    <row r="62" spans="1:34" x14ac:dyDescent="0.25">
      <c r="A62" s="5">
        <f t="shared" si="14"/>
        <v>2031</v>
      </c>
      <c r="B62" s="10">
        <f t="shared" si="6"/>
        <v>122.48676666666668</v>
      </c>
      <c r="C62" s="10">
        <f>B62*'Inputs &amp; Parameters'!$C$20/60</f>
        <v>2204.7618000000002</v>
      </c>
      <c r="D62" s="10">
        <f>B62*'Inputs &amp; Parameters'!$B$20</f>
        <v>16068.898916625703</v>
      </c>
      <c r="E62" s="91"/>
      <c r="F62" s="86">
        <f>(($B$9/$B$32)*'Inputs &amp; Parameters'!$B$7)+(('Barge - Liquid'!$B$68*$B$12)/'Barge - Liquid'!$B$67)</f>
        <v>2183471.1169636063</v>
      </c>
      <c r="G62" s="86">
        <f>(($B$9/$B$32)*'Inputs &amp; Parameters'!$B$7)+(('Barge - Liquid'!$B$68*4)/'Barge - Liquid'!$B$67)*VLOOKUP(A62,NPV!$B$4:$D$44,2,0)</f>
        <v>1702975.6783146972</v>
      </c>
      <c r="H62" s="86">
        <f t="shared" si="7"/>
        <v>487252.35780000006</v>
      </c>
      <c r="I62" s="86">
        <f>SUM(($B$4-1)*C62*$B$6,1*C62*$B$5)*VLOOKUP(A62,NPV!$B$4:$D$44,2,0)</f>
        <v>370191.09010308696</v>
      </c>
      <c r="J62" s="86">
        <f t="shared" si="8"/>
        <v>38500</v>
      </c>
      <c r="K62" s="86">
        <f>$B$11*0.5*VLOOKUP(A62,NPV!$B$4:$D$44,2,0)</f>
        <v>29250.462806008502</v>
      </c>
      <c r="L62" s="86"/>
      <c r="M62" s="86">
        <f t="shared" si="9"/>
        <v>2102417.2312237928</v>
      </c>
      <c r="N62" s="8"/>
      <c r="O62" s="86">
        <f>$D62*HLOOKUP($A62,'Barge (Build) - Dry'!$A$42:$Y$47,2,FALSE)*HLOOKUP($A62,'Barge (Build) - Dry'!$A$48:$Y$53,2,FALSE)</f>
        <v>190087.48514062673</v>
      </c>
      <c r="P62" s="86">
        <f>$D62*HLOOKUP($A62,'Barge (Build) - Dry'!$A$42:$Y$47,2,FALSE)*HLOOKUP($A62,'Barge (Build) - Dry'!$A$48:$Y$53,2,FALSE)*VLOOKUP(A62,NPV!$B$4:$D$44,3,0)</f>
        <v>159056.70416791012</v>
      </c>
      <c r="Q62" s="86">
        <f>$D62*HLOOKUP($A62,'Barge (Build) - Dry'!$A$42:$Y$47,3,FALSE)*HLOOKUP($A62,'Barge (Build) - Dry'!$A$48:$Y$53,3,FALSE)</f>
        <v>0</v>
      </c>
      <c r="R62" s="86">
        <f>$D62*HLOOKUP($A62,'Barge (Build) - Dry'!$A$42:$Y$47,3,FALSE)*HLOOKUP($A62,'Barge (Build) - Dry'!$A$48:$Y$53,3,FALSE)*VLOOKUP(A62,NPV!$B$4:$D$44,2,0)</f>
        <v>0</v>
      </c>
      <c r="S62" s="86">
        <f>$D62*HLOOKUP($A62,'Barge (Build) - Dry'!$A$42:$Y$47,4,FALSE)*HLOOKUP($A62,'Barge (Build) - Dry'!$A$48:$Y$53,4,FALSE)</f>
        <v>0</v>
      </c>
      <c r="T62" s="86">
        <f>$D62*HLOOKUP($A62,'Barge (Build) - Dry'!$A$42:$Y$47,4,FALSE)*HLOOKUP($A62,'Barge (Build) - Dry'!$A$48:$Y$53,4,FALSE)*VLOOKUP(A62,NPV!$B$4:$D$44,2,0)</f>
        <v>0</v>
      </c>
      <c r="U62" s="86">
        <f>$D62*HLOOKUP($A62,'Barge (Build) - Dry'!$A$42:$Y$47,5,FALSE)*HLOOKUP($A62,'Barge (Build) - Dry'!$A$48:$Y$53,5,FALSE)</f>
        <v>0</v>
      </c>
      <c r="V62" s="86">
        <f>$D62*HLOOKUP($A62,'Barge (Build) - Dry'!$A$42:$Y$47,5,FALSE)*HLOOKUP($A62,'Barge (Build) - Dry'!$A$48:$Y$53,5,FALSE)*VLOOKUP(A62,NPV!$B$4:$D$44,2,0)</f>
        <v>0</v>
      </c>
      <c r="W62" s="86">
        <f t="shared" si="10"/>
        <v>190087.48514062673</v>
      </c>
      <c r="X62" s="86">
        <f t="shared" si="11"/>
        <v>159056.70416791012</v>
      </c>
      <c r="Z62" s="86">
        <f>$B$10*'Barge (Build) - Dry'!$F$22*'Inputs &amp; Parameters'!$B$45</f>
        <v>104.59218409565987</v>
      </c>
      <c r="AA62" s="86">
        <f>$B$10*'Barge (Build) - Dry'!$F$22*'Inputs &amp; Parameters'!$B$45*VLOOKUP(A62,NPV!$B$4:$D$44,2,0)</f>
        <v>79.464150407514097</v>
      </c>
      <c r="AB62" s="86">
        <f>$B$10*'Barge (Build) - Dry'!$E$22*'Inputs &amp; Parameters'!$B$44</f>
        <v>2013.2598436359044</v>
      </c>
      <c r="AC62" s="86">
        <f>$B$10*'Barge (Build) - Dry'!$E$22*'Inputs &amp; Parameters'!$B$44*VLOOKUP(A62,NPV!$B$4:$D$44,2,0)</f>
        <v>1529.5787577948704</v>
      </c>
      <c r="AD62" s="86">
        <f t="shared" si="12"/>
        <v>2117.8520277315642</v>
      </c>
      <c r="AE62" s="86">
        <f t="shared" si="13"/>
        <v>1609.0429082023845</v>
      </c>
      <c r="AF62" s="149"/>
      <c r="AG62" s="86">
        <f t="shared" si="4"/>
        <v>192205.3371683583</v>
      </c>
      <c r="AH62" s="86">
        <f t="shared" si="5"/>
        <v>2263082.9782999051</v>
      </c>
    </row>
    <row r="63" spans="1:34" x14ac:dyDescent="0.25">
      <c r="A63" s="5">
        <f t="shared" si="14"/>
        <v>2032</v>
      </c>
      <c r="B63" s="10">
        <f t="shared" si="6"/>
        <v>122.48676666666668</v>
      </c>
      <c r="C63" s="10">
        <f>B63*'Inputs &amp; Parameters'!$C$20/60</f>
        <v>2204.7618000000002</v>
      </c>
      <c r="D63" s="10">
        <f>B63*'Inputs &amp; Parameters'!$B$20</f>
        <v>16068.898916625703</v>
      </c>
      <c r="E63" s="91"/>
      <c r="F63" s="86">
        <f>(($B$9/$B$32)*'Inputs &amp; Parameters'!$B$7)+(('Barge - Liquid'!$B$68*$B$12)/'Barge - Liquid'!$B$67)</f>
        <v>2183471.1169636063</v>
      </c>
      <c r="G63" s="86">
        <f>(($B$9/$B$32)*'Inputs &amp; Parameters'!$B$7)+(('Barge - Liquid'!$B$68*4)/'Barge - Liquid'!$B$67)*VLOOKUP(A63,NPV!$B$4:$D$44,2,0)</f>
        <v>1657287.3743361486</v>
      </c>
      <c r="H63" s="86">
        <f t="shared" si="7"/>
        <v>487252.35780000006</v>
      </c>
      <c r="I63" s="86">
        <f>SUM(($B$4-1)*C63*$B$6,1*C63*$B$5)*VLOOKUP(A63,NPV!$B$4:$D$44,2,0)</f>
        <v>359060.22318437143</v>
      </c>
      <c r="J63" s="86">
        <f t="shared" si="8"/>
        <v>38500</v>
      </c>
      <c r="K63" s="86">
        <f>$B$11*0.5*VLOOKUP(A63,NPV!$B$4:$D$44,2,0)</f>
        <v>28370.962954421437</v>
      </c>
      <c r="L63" s="86"/>
      <c r="M63" s="86">
        <f t="shared" si="9"/>
        <v>2044718.5604749415</v>
      </c>
      <c r="N63" s="8"/>
      <c r="O63" s="86">
        <f>$D63*HLOOKUP($A63,'Barge (Build) - Dry'!$A$42:$Y$47,2,FALSE)*HLOOKUP($A63,'Barge (Build) - Dry'!$A$48:$Y$53,2,FALSE)</f>
        <v>192524.50418089115</v>
      </c>
      <c r="P63" s="86">
        <f>$D63*HLOOKUP($A63,'Barge (Build) - Dry'!$A$42:$Y$47,2,FALSE)*HLOOKUP($A63,'Barge (Build) - Dry'!$A$48:$Y$53,2,FALSE)*VLOOKUP(A63,NPV!$B$4:$D$44,3,0)</f>
        <v>157937.14968910129</v>
      </c>
      <c r="Q63" s="86">
        <f>$D63*HLOOKUP($A63,'Barge (Build) - Dry'!$A$42:$Y$47,3,FALSE)*HLOOKUP($A63,'Barge (Build) - Dry'!$A$48:$Y$53,3,FALSE)</f>
        <v>0</v>
      </c>
      <c r="R63" s="86">
        <f>$D63*HLOOKUP($A63,'Barge (Build) - Dry'!$A$42:$Y$47,3,FALSE)*HLOOKUP($A63,'Barge (Build) - Dry'!$A$48:$Y$53,3,FALSE)*VLOOKUP(A63,NPV!$B$4:$D$44,2,0)</f>
        <v>0</v>
      </c>
      <c r="S63" s="86">
        <f>$D63*HLOOKUP($A63,'Barge (Build) - Dry'!$A$42:$Y$47,4,FALSE)*HLOOKUP($A63,'Barge (Build) - Dry'!$A$48:$Y$53,4,FALSE)</f>
        <v>0</v>
      </c>
      <c r="T63" s="86">
        <f>$D63*HLOOKUP($A63,'Barge (Build) - Dry'!$A$42:$Y$47,4,FALSE)*HLOOKUP($A63,'Barge (Build) - Dry'!$A$48:$Y$53,4,FALSE)*VLOOKUP(A63,NPV!$B$4:$D$44,2,0)</f>
        <v>0</v>
      </c>
      <c r="U63" s="86">
        <f>$D63*HLOOKUP($A63,'Barge (Build) - Dry'!$A$42:$Y$47,5,FALSE)*HLOOKUP($A63,'Barge (Build) - Dry'!$A$48:$Y$53,5,FALSE)</f>
        <v>0</v>
      </c>
      <c r="V63" s="86">
        <f>$D63*HLOOKUP($A63,'Barge (Build) - Dry'!$A$42:$Y$47,5,FALSE)*HLOOKUP($A63,'Barge (Build) - Dry'!$A$48:$Y$53,5,FALSE)*VLOOKUP(A63,NPV!$B$4:$D$44,2,0)</f>
        <v>0</v>
      </c>
      <c r="W63" s="86">
        <f t="shared" si="10"/>
        <v>192524.50418089115</v>
      </c>
      <c r="X63" s="86">
        <f t="shared" si="11"/>
        <v>157937.14968910129</v>
      </c>
      <c r="Z63" s="86">
        <f>$B$10*'Barge (Build) - Dry'!$F$22*'Inputs &amp; Parameters'!$B$45</f>
        <v>104.59218409565987</v>
      </c>
      <c r="AA63" s="86">
        <f>$B$10*'Barge (Build) - Dry'!$F$22*'Inputs &amp; Parameters'!$B$45*VLOOKUP(A63,NPV!$B$4:$D$44,2,0)</f>
        <v>77.074830657142684</v>
      </c>
      <c r="AB63" s="86">
        <f>$B$10*'Barge (Build) - Dry'!$E$22*'Inputs &amp; Parameters'!$B$44</f>
        <v>2013.2598436359044</v>
      </c>
      <c r="AC63" s="86">
        <f>$B$10*'Barge (Build) - Dry'!$E$22*'Inputs &amp; Parameters'!$B$44*VLOOKUP(A63,NPV!$B$4:$D$44,2,0)</f>
        <v>1483.5875439329491</v>
      </c>
      <c r="AD63" s="86">
        <f t="shared" si="12"/>
        <v>2117.8520277315642</v>
      </c>
      <c r="AE63" s="86">
        <f t="shared" si="13"/>
        <v>1560.6623745900918</v>
      </c>
      <c r="AF63" s="149"/>
      <c r="AG63" s="86">
        <f t="shared" si="4"/>
        <v>194642.35620862272</v>
      </c>
      <c r="AH63" s="86">
        <f t="shared" si="5"/>
        <v>2204216.3725386327</v>
      </c>
    </row>
    <row r="64" spans="1:34" x14ac:dyDescent="0.25">
      <c r="A64" s="5">
        <f t="shared" si="14"/>
        <v>2033</v>
      </c>
      <c r="B64" s="10">
        <f t="shared" si="6"/>
        <v>122.48676666666668</v>
      </c>
      <c r="C64" s="10">
        <f>B64*'Inputs &amp; Parameters'!$C$20/60</f>
        <v>2204.7618000000002</v>
      </c>
      <c r="D64" s="10">
        <f>B64*'Inputs &amp; Parameters'!$B$20</f>
        <v>16068.898916625703</v>
      </c>
      <c r="E64" s="91"/>
      <c r="F64" s="86">
        <f>(($B$9/$B$32)*'Inputs &amp; Parameters'!$B$7)+(('Barge - Liquid'!$B$68*$B$12)/'Barge - Liquid'!$B$67)</f>
        <v>2183471.1169636063</v>
      </c>
      <c r="G64" s="86">
        <f>(($B$9/$B$32)*'Inputs &amp; Parameters'!$B$7)+(('Barge - Liquid'!$B$68*4)/'Barge - Liquid'!$B$67)*VLOOKUP(A64,NPV!$B$4:$D$44,2,0)</f>
        <v>1612972.8214956552</v>
      </c>
      <c r="H64" s="86">
        <f t="shared" si="7"/>
        <v>487252.35780000006</v>
      </c>
      <c r="I64" s="86">
        <f>SUM(($B$4-1)*C64*$B$6,1*C64*$B$5)*VLOOKUP(A64,NPV!$B$4:$D$44,2,0)</f>
        <v>348264.03800617991</v>
      </c>
      <c r="J64" s="86">
        <f t="shared" si="8"/>
        <v>38500</v>
      </c>
      <c r="K64" s="86">
        <f>$B$11*0.5*VLOOKUP(A64,NPV!$B$4:$D$44,2,0)</f>
        <v>27517.907812241941</v>
      </c>
      <c r="L64" s="86"/>
      <c r="M64" s="86">
        <f t="shared" si="9"/>
        <v>1988754.7673140771</v>
      </c>
      <c r="N64" s="8"/>
      <c r="O64" s="86">
        <f>$D64*HLOOKUP($A64,'Barge (Build) - Dry'!$A$42:$Y$47,2,FALSE)*HLOOKUP($A64,'Barge (Build) - Dry'!$A$48:$Y$53,2,FALSE)</f>
        <v>195773.86290124376</v>
      </c>
      <c r="P64" s="86">
        <f>$D64*HLOOKUP($A64,'Barge (Build) - Dry'!$A$42:$Y$47,2,FALSE)*HLOOKUP($A64,'Barge (Build) - Dry'!$A$48:$Y$53,2,FALSE)*VLOOKUP(A64,NPV!$B$4:$D$44,3,0)</f>
        <v>157453.68195198735</v>
      </c>
      <c r="Q64" s="86">
        <f>$D64*HLOOKUP($A64,'Barge (Build) - Dry'!$A$42:$Y$47,3,FALSE)*HLOOKUP($A64,'Barge (Build) - Dry'!$A$48:$Y$53,3,FALSE)</f>
        <v>0</v>
      </c>
      <c r="R64" s="86">
        <f>$D64*HLOOKUP($A64,'Barge (Build) - Dry'!$A$42:$Y$47,3,FALSE)*HLOOKUP($A64,'Barge (Build) - Dry'!$A$48:$Y$53,3,FALSE)*VLOOKUP(A64,NPV!$B$4:$D$44,2,0)</f>
        <v>0</v>
      </c>
      <c r="S64" s="86">
        <f>$D64*HLOOKUP($A64,'Barge (Build) - Dry'!$A$42:$Y$47,4,FALSE)*HLOOKUP($A64,'Barge (Build) - Dry'!$A$48:$Y$53,4,FALSE)</f>
        <v>0</v>
      </c>
      <c r="T64" s="86">
        <f>$D64*HLOOKUP($A64,'Barge (Build) - Dry'!$A$42:$Y$47,4,FALSE)*HLOOKUP($A64,'Barge (Build) - Dry'!$A$48:$Y$53,4,FALSE)*VLOOKUP(A64,NPV!$B$4:$D$44,2,0)</f>
        <v>0</v>
      </c>
      <c r="U64" s="86">
        <f>$D64*HLOOKUP($A64,'Barge (Build) - Dry'!$A$42:$Y$47,5,FALSE)*HLOOKUP($A64,'Barge (Build) - Dry'!$A$48:$Y$53,5,FALSE)</f>
        <v>0</v>
      </c>
      <c r="V64" s="86">
        <f>$D64*HLOOKUP($A64,'Barge (Build) - Dry'!$A$42:$Y$47,5,FALSE)*HLOOKUP($A64,'Barge (Build) - Dry'!$A$48:$Y$53,5,FALSE)*VLOOKUP(A64,NPV!$B$4:$D$44,2,0)</f>
        <v>0</v>
      </c>
      <c r="W64" s="86">
        <f t="shared" si="10"/>
        <v>195773.86290124376</v>
      </c>
      <c r="X64" s="86">
        <f t="shared" si="11"/>
        <v>157453.68195198735</v>
      </c>
      <c r="Z64" s="86">
        <f>$B$10*'Barge (Build) - Dry'!$F$22*'Inputs &amp; Parameters'!$B$45</f>
        <v>104.59218409565987</v>
      </c>
      <c r="AA64" s="86">
        <f>$B$10*'Barge (Build) - Dry'!$F$22*'Inputs &amp; Parameters'!$B$45*VLOOKUP(A64,NPV!$B$4:$D$44,2,0)</f>
        <v>74.757352722737821</v>
      </c>
      <c r="AB64" s="86">
        <f>$B$10*'Barge (Build) - Dry'!$E$22*'Inputs &amp; Parameters'!$B$44</f>
        <v>2013.2598436359044</v>
      </c>
      <c r="AC64" s="86">
        <f>$B$10*'Barge (Build) - Dry'!$E$22*'Inputs &amp; Parameters'!$B$44*VLOOKUP(A64,NPV!$B$4:$D$44,2,0)</f>
        <v>1438.9791890717258</v>
      </c>
      <c r="AD64" s="86">
        <f t="shared" si="12"/>
        <v>2117.8520277315642</v>
      </c>
      <c r="AE64" s="86">
        <f t="shared" si="13"/>
        <v>1513.7365417944636</v>
      </c>
      <c r="AF64" s="149"/>
      <c r="AG64" s="86">
        <f t="shared" si="4"/>
        <v>197891.71492897533</v>
      </c>
      <c r="AH64" s="86">
        <f t="shared" si="5"/>
        <v>2147722.1858078591</v>
      </c>
    </row>
    <row r="65" spans="1:34" x14ac:dyDescent="0.25">
      <c r="A65" s="5">
        <f t="shared" si="14"/>
        <v>2034</v>
      </c>
      <c r="B65" s="10">
        <f t="shared" si="6"/>
        <v>122.48676666666668</v>
      </c>
      <c r="C65" s="10">
        <f>B65*'Inputs &amp; Parameters'!$C$20/60</f>
        <v>2204.7618000000002</v>
      </c>
      <c r="D65" s="10">
        <f>B65*'Inputs &amp; Parameters'!$B$20</f>
        <v>16068.898916625703</v>
      </c>
      <c r="E65" s="91"/>
      <c r="F65" s="86">
        <f>(($B$9/$B$32)*'Inputs &amp; Parameters'!$B$7)+(('Barge - Liquid'!$B$68*$B$12)/'Barge - Liquid'!$B$67)</f>
        <v>2183471.1169636063</v>
      </c>
      <c r="G65" s="86">
        <f>(($B$9/$B$32)*'Inputs &amp; Parameters'!$B$7)+(('Barge - Liquid'!$B$68*4)/'Barge - Liquid'!$B$67)*VLOOKUP(A65,NPV!$B$4:$D$44,2,0)</f>
        <v>1569990.713987902</v>
      </c>
      <c r="H65" s="86">
        <f t="shared" si="7"/>
        <v>487252.35780000006</v>
      </c>
      <c r="I65" s="86">
        <f>SUM(($B$4-1)*C65*$B$6,1*C65*$B$5)*VLOOKUP(A65,NPV!$B$4:$D$44,2,0)</f>
        <v>337792.47139299702</v>
      </c>
      <c r="J65" s="86">
        <f t="shared" si="8"/>
        <v>38500</v>
      </c>
      <c r="K65" s="86">
        <f>$B$11*0.5*VLOOKUP(A65,NPV!$B$4:$D$44,2,0)</f>
        <v>26690.502242717692</v>
      </c>
      <c r="L65" s="86"/>
      <c r="M65" s="86">
        <f t="shared" si="9"/>
        <v>1934473.6876236168</v>
      </c>
      <c r="N65" s="8"/>
      <c r="O65" s="86">
        <f>$D65*HLOOKUP($A65,'Barge (Build) - Dry'!$A$42:$Y$47,2,FALSE)*HLOOKUP($A65,'Barge (Build) - Dry'!$A$48:$Y$53,2,FALSE)</f>
        <v>199023.22162159634</v>
      </c>
      <c r="P65" s="86">
        <f>$D65*HLOOKUP($A65,'Barge (Build) - Dry'!$A$42:$Y$47,2,FALSE)*HLOOKUP($A65,'Barge (Build) - Dry'!$A$48:$Y$53,2,FALSE)*VLOOKUP(A65,NPV!$B$4:$D$44,3,0)</f>
        <v>156928.4520309043</v>
      </c>
      <c r="Q65" s="86">
        <f>$D65*HLOOKUP($A65,'Barge (Build) - Dry'!$A$42:$Y$47,3,FALSE)*HLOOKUP($A65,'Barge (Build) - Dry'!$A$48:$Y$53,3,FALSE)</f>
        <v>0</v>
      </c>
      <c r="R65" s="86">
        <f>$D65*HLOOKUP($A65,'Barge (Build) - Dry'!$A$42:$Y$47,3,FALSE)*HLOOKUP($A65,'Barge (Build) - Dry'!$A$48:$Y$53,3,FALSE)*VLOOKUP(A65,NPV!$B$4:$D$44,2,0)</f>
        <v>0</v>
      </c>
      <c r="S65" s="86">
        <f>$D65*HLOOKUP($A65,'Barge (Build) - Dry'!$A$42:$Y$47,4,FALSE)*HLOOKUP($A65,'Barge (Build) - Dry'!$A$48:$Y$53,4,FALSE)</f>
        <v>0</v>
      </c>
      <c r="T65" s="86">
        <f>$D65*HLOOKUP($A65,'Barge (Build) - Dry'!$A$42:$Y$47,4,FALSE)*HLOOKUP($A65,'Barge (Build) - Dry'!$A$48:$Y$53,4,FALSE)*VLOOKUP(A65,NPV!$B$4:$D$44,2,0)</f>
        <v>0</v>
      </c>
      <c r="U65" s="86">
        <f>$D65*HLOOKUP($A65,'Barge (Build) - Dry'!$A$42:$Y$47,5,FALSE)*HLOOKUP($A65,'Barge (Build) - Dry'!$A$48:$Y$53,5,FALSE)</f>
        <v>0</v>
      </c>
      <c r="V65" s="86">
        <f>$D65*HLOOKUP($A65,'Barge (Build) - Dry'!$A$42:$Y$47,5,FALSE)*HLOOKUP($A65,'Barge (Build) - Dry'!$A$48:$Y$53,5,FALSE)*VLOOKUP(A65,NPV!$B$4:$D$44,2,0)</f>
        <v>0</v>
      </c>
      <c r="W65" s="86">
        <f t="shared" si="10"/>
        <v>199023.22162159634</v>
      </c>
      <c r="X65" s="86">
        <f t="shared" si="11"/>
        <v>156928.4520309043</v>
      </c>
      <c r="Z65" s="86">
        <f>$B$10*'Barge (Build) - Dry'!$F$22*'Inputs &amp; Parameters'!$B$45</f>
        <v>104.59218409565987</v>
      </c>
      <c r="AA65" s="86">
        <f>$B$10*'Barge (Build) - Dry'!$F$22*'Inputs &amp; Parameters'!$B$45*VLOOKUP(A65,NPV!$B$4:$D$44,2,0)</f>
        <v>72.509556472102631</v>
      </c>
      <c r="AB65" s="86">
        <f>$B$10*'Barge (Build) - Dry'!$E$22*'Inputs &amp; Parameters'!$B$44</f>
        <v>2013.2598436359044</v>
      </c>
      <c r="AC65" s="86">
        <f>$B$10*'Barge (Build) - Dry'!$E$22*'Inputs &amp; Parameters'!$B$44*VLOOKUP(A65,NPV!$B$4:$D$44,2,0)</f>
        <v>1395.7121135516254</v>
      </c>
      <c r="AD65" s="86">
        <f t="shared" si="12"/>
        <v>2117.8520277315642</v>
      </c>
      <c r="AE65" s="86">
        <f t="shared" si="13"/>
        <v>1468.2216700237279</v>
      </c>
      <c r="AF65" s="149"/>
      <c r="AG65" s="86">
        <f t="shared" si="4"/>
        <v>201141.07364932791</v>
      </c>
      <c r="AH65" s="86">
        <f t="shared" si="5"/>
        <v>2092870.3613245448</v>
      </c>
    </row>
    <row r="66" spans="1:34" x14ac:dyDescent="0.25">
      <c r="A66" s="5">
        <f t="shared" si="14"/>
        <v>2035</v>
      </c>
      <c r="B66" s="10">
        <f t="shared" si="6"/>
        <v>122.48676666666668</v>
      </c>
      <c r="C66" s="10">
        <f>B66*'Inputs &amp; Parameters'!$C$20/60</f>
        <v>2204.7618000000002</v>
      </c>
      <c r="D66" s="10">
        <f>B66*'Inputs &amp; Parameters'!$B$20</f>
        <v>16068.898916625703</v>
      </c>
      <c r="E66" s="91"/>
      <c r="F66" s="86">
        <f>(($B$9/$B$32)*'Inputs &amp; Parameters'!$B$7)+(('Barge - Liquid'!$B$68*$B$12)/'Barge - Liquid'!$B$67)</f>
        <v>2183471.1169636063</v>
      </c>
      <c r="G66" s="86">
        <f>(($B$9/$B$32)*'Inputs &amp; Parameters'!$B$7)+(('Barge - Liquid'!$B$68*4)/'Barge - Liquid'!$B$67)*VLOOKUP(A66,NPV!$B$4:$D$44,2,0)</f>
        <v>1528300.9879862017</v>
      </c>
      <c r="H66" s="86">
        <f t="shared" si="7"/>
        <v>487252.35780000006</v>
      </c>
      <c r="I66" s="86">
        <f>SUM(($B$4-1)*C66*$B$6,1*C66*$B$5)*VLOOKUP(A66,NPV!$B$4:$D$44,2,0)</f>
        <v>327635.76274781476</v>
      </c>
      <c r="J66" s="86">
        <f t="shared" si="8"/>
        <v>38500</v>
      </c>
      <c r="K66" s="86">
        <f>$B$11*0.5*VLOOKUP(A66,NPV!$B$4:$D$44,2,0)</f>
        <v>25887.975017184959</v>
      </c>
      <c r="L66" s="86"/>
      <c r="M66" s="86">
        <f t="shared" si="9"/>
        <v>1881824.7257512012</v>
      </c>
      <c r="N66" s="8"/>
      <c r="O66" s="86">
        <f>$D66*HLOOKUP($A66,'Barge (Build) - Dry'!$A$42:$Y$47,2,FALSE)*HLOOKUP($A66,'Barge (Build) - Dry'!$A$48:$Y$53,2,FALSE)</f>
        <v>201460.24066186079</v>
      </c>
      <c r="P66" s="86">
        <f>$D66*HLOOKUP($A66,'Barge (Build) - Dry'!$A$42:$Y$47,2,FALSE)*HLOOKUP($A66,'Barge (Build) - Dry'!$A$48:$Y$53,2,FALSE)*VLOOKUP(A66,NPV!$B$4:$D$44,3,0)</f>
        <v>155735.31854207389</v>
      </c>
      <c r="Q66" s="86">
        <f>$D66*HLOOKUP($A66,'Barge (Build) - Dry'!$A$42:$Y$47,3,FALSE)*HLOOKUP($A66,'Barge (Build) - Dry'!$A$48:$Y$53,3,FALSE)</f>
        <v>0</v>
      </c>
      <c r="R66" s="86">
        <f>$D66*HLOOKUP($A66,'Barge (Build) - Dry'!$A$42:$Y$47,3,FALSE)*HLOOKUP($A66,'Barge (Build) - Dry'!$A$48:$Y$53,3,FALSE)*VLOOKUP(A66,NPV!$B$4:$D$44,2,0)</f>
        <v>0</v>
      </c>
      <c r="S66" s="86">
        <f>$D66*HLOOKUP($A66,'Barge (Build) - Dry'!$A$42:$Y$47,4,FALSE)*HLOOKUP($A66,'Barge (Build) - Dry'!$A$48:$Y$53,4,FALSE)</f>
        <v>0</v>
      </c>
      <c r="T66" s="86">
        <f>$D66*HLOOKUP($A66,'Barge (Build) - Dry'!$A$42:$Y$47,4,FALSE)*HLOOKUP($A66,'Barge (Build) - Dry'!$A$48:$Y$53,4,FALSE)*VLOOKUP(A66,NPV!$B$4:$D$44,2,0)</f>
        <v>0</v>
      </c>
      <c r="U66" s="86">
        <f>$D66*HLOOKUP($A66,'Barge (Build) - Dry'!$A$42:$Y$47,5,FALSE)*HLOOKUP($A66,'Barge (Build) - Dry'!$A$48:$Y$53,5,FALSE)</f>
        <v>0</v>
      </c>
      <c r="V66" s="86">
        <f>$D66*HLOOKUP($A66,'Barge (Build) - Dry'!$A$42:$Y$47,5,FALSE)*HLOOKUP($A66,'Barge (Build) - Dry'!$A$48:$Y$53,5,FALSE)*VLOOKUP(A66,NPV!$B$4:$D$44,2,0)</f>
        <v>0</v>
      </c>
      <c r="W66" s="86">
        <f t="shared" si="10"/>
        <v>201460.24066186079</v>
      </c>
      <c r="X66" s="86">
        <f t="shared" si="11"/>
        <v>155735.31854207389</v>
      </c>
      <c r="Z66" s="86">
        <f>$B$10*'Barge (Build) - Dry'!$F$22*'Inputs &amp; Parameters'!$B$45</f>
        <v>104.59218409565987</v>
      </c>
      <c r="AA66" s="86">
        <f>$B$10*'Barge (Build) - Dry'!$F$22*'Inputs &amp; Parameters'!$B$45*VLOOKUP(A66,NPV!$B$4:$D$44,2,0)</f>
        <v>70.329346723668905</v>
      </c>
      <c r="AB66" s="86">
        <f>$B$10*'Barge (Build) - Dry'!$E$22*'Inputs &amp; Parameters'!$B$44</f>
        <v>2013.2598436359044</v>
      </c>
      <c r="AC66" s="86">
        <f>$B$10*'Barge (Build) - Dry'!$E$22*'Inputs &amp; Parameters'!$B$44*VLOOKUP(A66,NPV!$B$4:$D$44,2,0)</f>
        <v>1353.7459879259218</v>
      </c>
      <c r="AD66" s="86">
        <f t="shared" si="12"/>
        <v>2117.8520277315642</v>
      </c>
      <c r="AE66" s="86">
        <f t="shared" si="13"/>
        <v>1424.0753346495908</v>
      </c>
      <c r="AF66" s="149"/>
      <c r="AG66" s="86">
        <f t="shared" si="4"/>
        <v>203578.09268959236</v>
      </c>
      <c r="AH66" s="86">
        <f t="shared" si="5"/>
        <v>2038984.1196279246</v>
      </c>
    </row>
    <row r="67" spans="1:34" x14ac:dyDescent="0.25">
      <c r="A67" s="5">
        <f t="shared" si="14"/>
        <v>2036</v>
      </c>
      <c r="B67" s="10">
        <f t="shared" si="6"/>
        <v>122.48676666666668</v>
      </c>
      <c r="C67" s="10">
        <f>B67*'Inputs &amp; Parameters'!$C$20/60</f>
        <v>2204.7618000000002</v>
      </c>
      <c r="D67" s="10">
        <f>B67*'Inputs &amp; Parameters'!$B$20</f>
        <v>16068.898916625703</v>
      </c>
      <c r="E67" s="91"/>
      <c r="F67" s="86">
        <f>(($B$9/$B$32)*'Inputs &amp; Parameters'!$B$7)+(('Barge - Liquid'!$B$68*$B$12)/'Barge - Liquid'!$B$67)</f>
        <v>2183471.1169636063</v>
      </c>
      <c r="G67" s="86">
        <f>(($B$9/$B$32)*'Inputs &amp; Parameters'!$B$7)+(('Barge - Liquid'!$B$68*4)/'Barge - Liquid'!$B$67)*VLOOKUP(A67,NPV!$B$4:$D$44,2,0)</f>
        <v>1487864.7842988104</v>
      </c>
      <c r="H67" s="86">
        <f t="shared" si="7"/>
        <v>487252.35780000006</v>
      </c>
      <c r="I67" s="86">
        <f>SUM(($B$4-1)*C67*$B$6,1*C67*$B$5)*VLOOKUP(A67,NPV!$B$4:$D$44,2,0)</f>
        <v>317784.44495423354</v>
      </c>
      <c r="J67" s="86">
        <f t="shared" si="8"/>
        <v>38500</v>
      </c>
      <c r="K67" s="86">
        <f>$B$11*0.5*VLOOKUP(A67,NPV!$B$4:$D$44,2,0)</f>
        <v>25109.57809620268</v>
      </c>
      <c r="L67" s="86"/>
      <c r="M67" s="86">
        <f t="shared" si="9"/>
        <v>1830758.8073492465</v>
      </c>
      <c r="N67" s="8"/>
      <c r="O67" s="86">
        <f>$D67*HLOOKUP($A67,'Barge (Build) - Dry'!$A$42:$Y$47,2,FALSE)*HLOOKUP($A67,'Barge (Build) - Dry'!$A$48:$Y$53,2,FALSE)</f>
        <v>204709.59938221338</v>
      </c>
      <c r="P67" s="86">
        <f>$D67*HLOOKUP($A67,'Barge (Build) - Dry'!$A$42:$Y$47,2,FALSE)*HLOOKUP($A67,'Barge (Build) - Dry'!$A$48:$Y$53,2,FALSE)*VLOOKUP(A67,NPV!$B$4:$D$44,3,0)</f>
        <v>155144.29266525386</v>
      </c>
      <c r="Q67" s="86">
        <f>$D67*HLOOKUP($A67,'Barge (Build) - Dry'!$A$42:$Y$47,3,FALSE)*HLOOKUP($A67,'Barge (Build) - Dry'!$A$48:$Y$53,3,FALSE)</f>
        <v>0</v>
      </c>
      <c r="R67" s="86">
        <f>$D67*HLOOKUP($A67,'Barge (Build) - Dry'!$A$42:$Y$47,3,FALSE)*HLOOKUP($A67,'Barge (Build) - Dry'!$A$48:$Y$53,3,FALSE)*VLOOKUP(A67,NPV!$B$4:$D$44,2,0)</f>
        <v>0</v>
      </c>
      <c r="S67" s="86">
        <f>$D67*HLOOKUP($A67,'Barge (Build) - Dry'!$A$42:$Y$47,4,FALSE)*HLOOKUP($A67,'Barge (Build) - Dry'!$A$48:$Y$53,4,FALSE)</f>
        <v>0</v>
      </c>
      <c r="T67" s="86">
        <f>$D67*HLOOKUP($A67,'Barge (Build) - Dry'!$A$42:$Y$47,4,FALSE)*HLOOKUP($A67,'Barge (Build) - Dry'!$A$48:$Y$53,4,FALSE)*VLOOKUP(A67,NPV!$B$4:$D$44,2,0)</f>
        <v>0</v>
      </c>
      <c r="U67" s="86">
        <f>$D67*HLOOKUP($A67,'Barge (Build) - Dry'!$A$42:$Y$47,5,FALSE)*HLOOKUP($A67,'Barge (Build) - Dry'!$A$48:$Y$53,5,FALSE)</f>
        <v>0</v>
      </c>
      <c r="V67" s="86">
        <f>$D67*HLOOKUP($A67,'Barge (Build) - Dry'!$A$42:$Y$47,5,FALSE)*HLOOKUP($A67,'Barge (Build) - Dry'!$A$48:$Y$53,5,FALSE)*VLOOKUP(A67,NPV!$B$4:$D$44,2,0)</f>
        <v>0</v>
      </c>
      <c r="W67" s="86">
        <f t="shared" si="10"/>
        <v>204709.59938221338</v>
      </c>
      <c r="X67" s="86">
        <f t="shared" si="11"/>
        <v>155144.29266525386</v>
      </c>
      <c r="Z67" s="86">
        <f>$B$10*'Barge (Build) - Dry'!$F$22*'Inputs &amp; Parameters'!$B$45</f>
        <v>104.59218409565987</v>
      </c>
      <c r="AA67" s="86">
        <f>$B$10*'Barge (Build) - Dry'!$F$22*'Inputs &amp; Parameters'!$B$45*VLOOKUP(A67,NPV!$B$4:$D$44,2,0)</f>
        <v>68.214691293568293</v>
      </c>
      <c r="AB67" s="86">
        <f>$B$10*'Barge (Build) - Dry'!$E$22*'Inputs &amp; Parameters'!$B$44</f>
        <v>2013.2598436359044</v>
      </c>
      <c r="AC67" s="86">
        <f>$B$10*'Barge (Build) - Dry'!$E$22*'Inputs &amp; Parameters'!$B$44*VLOOKUP(A67,NPV!$B$4:$D$44,2,0)</f>
        <v>1313.0416953694685</v>
      </c>
      <c r="AD67" s="86">
        <f t="shared" si="12"/>
        <v>2117.8520277315642</v>
      </c>
      <c r="AE67" s="86">
        <f t="shared" si="13"/>
        <v>1381.2563866630367</v>
      </c>
      <c r="AF67" s="149"/>
      <c r="AG67" s="86">
        <f t="shared" si="4"/>
        <v>206827.45140994494</v>
      </c>
      <c r="AH67" s="86">
        <f t="shared" si="5"/>
        <v>1987284.3564011634</v>
      </c>
    </row>
    <row r="68" spans="1:34" x14ac:dyDescent="0.25">
      <c r="A68" s="5">
        <f t="shared" si="14"/>
        <v>2037</v>
      </c>
      <c r="B68" s="10">
        <f t="shared" si="6"/>
        <v>122.48676666666668</v>
      </c>
      <c r="C68" s="10">
        <f>B68*'Inputs &amp; Parameters'!$C$20/60</f>
        <v>2204.7618000000002</v>
      </c>
      <c r="D68" s="10">
        <f>B68*'Inputs &amp; Parameters'!$B$20</f>
        <v>16068.898916625703</v>
      </c>
      <c r="E68" s="91"/>
      <c r="F68" s="86">
        <f>(($B$9/$B$32)*'Inputs &amp; Parameters'!$B$7)+(('Barge - Liquid'!$B$68*$B$12)/'Barge - Liquid'!$B$67)</f>
        <v>2183471.1169636063</v>
      </c>
      <c r="G68" s="86">
        <f>(($B$9/$B$32)*'Inputs &amp; Parameters'!$B$7)+(('Barge - Liquid'!$B$68*4)/'Barge - Liquid'!$B$67)*VLOOKUP(A68,NPV!$B$4:$D$44,2,0)</f>
        <v>1448644.4121480915</v>
      </c>
      <c r="H68" s="86">
        <f t="shared" si="7"/>
        <v>487252.35780000006</v>
      </c>
      <c r="I68" s="86">
        <f>SUM(($B$4-1)*C68*$B$6,1*C68*$B$5)*VLOOKUP(A68,NPV!$B$4:$D$44,2,0)</f>
        <v>308229.3355521179</v>
      </c>
      <c r="J68" s="86">
        <f t="shared" si="8"/>
        <v>38500</v>
      </c>
      <c r="K68" s="86">
        <f>$B$11*0.5*VLOOKUP(A68,NPV!$B$4:$D$44,2,0)</f>
        <v>24354.585932301339</v>
      </c>
      <c r="L68" s="86"/>
      <c r="M68" s="86">
        <f t="shared" si="9"/>
        <v>1781228.3336325106</v>
      </c>
      <c r="N68" s="8"/>
      <c r="O68" s="86">
        <f>$D68*HLOOKUP($A68,'Barge (Build) - Dry'!$A$42:$Y$47,2,FALSE)*HLOOKUP($A68,'Barge (Build) - Dry'!$A$48:$Y$53,2,FALSE)</f>
        <v>207958.95810256599</v>
      </c>
      <c r="P68" s="86">
        <f>$D68*HLOOKUP($A68,'Barge (Build) - Dry'!$A$42:$Y$47,2,FALSE)*HLOOKUP($A68,'Barge (Build) - Dry'!$A$48:$Y$53,2,FALSE)*VLOOKUP(A68,NPV!$B$4:$D$44,3,0)</f>
        <v>154516.56910327185</v>
      </c>
      <c r="Q68" s="86">
        <f>$D68*HLOOKUP($A68,'Barge (Build) - Dry'!$A$42:$Y$47,3,FALSE)*HLOOKUP($A68,'Barge (Build) - Dry'!$A$48:$Y$53,3,FALSE)</f>
        <v>0</v>
      </c>
      <c r="R68" s="86">
        <f>$D68*HLOOKUP($A68,'Barge (Build) - Dry'!$A$42:$Y$47,3,FALSE)*HLOOKUP($A68,'Barge (Build) - Dry'!$A$48:$Y$53,3,FALSE)*VLOOKUP(A68,NPV!$B$4:$D$44,2,0)</f>
        <v>0</v>
      </c>
      <c r="S68" s="86">
        <f>$D68*HLOOKUP($A68,'Barge (Build) - Dry'!$A$42:$Y$47,4,FALSE)*HLOOKUP($A68,'Barge (Build) - Dry'!$A$48:$Y$53,4,FALSE)</f>
        <v>0</v>
      </c>
      <c r="T68" s="86">
        <f>$D68*HLOOKUP($A68,'Barge (Build) - Dry'!$A$42:$Y$47,4,FALSE)*HLOOKUP($A68,'Barge (Build) - Dry'!$A$48:$Y$53,4,FALSE)*VLOOKUP(A68,NPV!$B$4:$D$44,2,0)</f>
        <v>0</v>
      </c>
      <c r="U68" s="86">
        <f>$D68*HLOOKUP($A68,'Barge (Build) - Dry'!$A$42:$Y$47,5,FALSE)*HLOOKUP($A68,'Barge (Build) - Dry'!$A$48:$Y$53,5,FALSE)</f>
        <v>0</v>
      </c>
      <c r="V68" s="86">
        <f>$D68*HLOOKUP($A68,'Barge (Build) - Dry'!$A$42:$Y$47,5,FALSE)*HLOOKUP($A68,'Barge (Build) - Dry'!$A$48:$Y$53,5,FALSE)*VLOOKUP(A68,NPV!$B$4:$D$44,2,0)</f>
        <v>0</v>
      </c>
      <c r="W68" s="86">
        <f t="shared" si="10"/>
        <v>207958.95810256599</v>
      </c>
      <c r="X68" s="86">
        <f t="shared" si="11"/>
        <v>154516.56910327185</v>
      </c>
      <c r="Z68" s="86">
        <f>$B$10*'Barge (Build) - Dry'!$F$22*'Inputs &amp; Parameters'!$B$45</f>
        <v>104.59218409565987</v>
      </c>
      <c r="AA68" s="86">
        <f>$B$10*'Barge (Build) - Dry'!$F$22*'Inputs &amp; Parameters'!$B$45*VLOOKUP(A68,NPV!$B$4:$D$44,2,0)</f>
        <v>66.163619101424146</v>
      </c>
      <c r="AB68" s="86">
        <f>$B$10*'Barge (Build) - Dry'!$E$22*'Inputs &amp; Parameters'!$B$44</f>
        <v>2013.2598436359044</v>
      </c>
      <c r="AC68" s="86">
        <f>$B$10*'Barge (Build) - Dry'!$E$22*'Inputs &amp; Parameters'!$B$44*VLOOKUP(A68,NPV!$B$4:$D$44,2,0)</f>
        <v>1273.5612952177194</v>
      </c>
      <c r="AD68" s="86">
        <f t="shared" si="12"/>
        <v>2117.8520277315642</v>
      </c>
      <c r="AE68" s="86">
        <f t="shared" si="13"/>
        <v>1339.7249143191434</v>
      </c>
      <c r="AF68" s="149"/>
      <c r="AG68" s="86">
        <f t="shared" si="4"/>
        <v>210076.81013029756</v>
      </c>
      <c r="AH68" s="86">
        <f t="shared" si="5"/>
        <v>1937084.6276501017</v>
      </c>
    </row>
    <row r="69" spans="1:34" x14ac:dyDescent="0.25">
      <c r="A69" s="5">
        <f t="shared" si="14"/>
        <v>2038</v>
      </c>
      <c r="B69" s="10">
        <f t="shared" si="6"/>
        <v>122.48676666666668</v>
      </c>
      <c r="C69" s="10">
        <f>B69*'Inputs &amp; Parameters'!$C$20/60</f>
        <v>2204.7618000000002</v>
      </c>
      <c r="D69" s="10">
        <f>B69*'Inputs &amp; Parameters'!$B$20</f>
        <v>16068.898916625703</v>
      </c>
      <c r="E69" s="91"/>
      <c r="F69" s="86">
        <f>(($B$9/$B$32)*'Inputs &amp; Parameters'!$B$7)+(('Barge - Liquid'!$B$68*$B$12)/'Barge - Liquid'!$B$67)</f>
        <v>2183471.1169636063</v>
      </c>
      <c r="G69" s="86">
        <f>(($B$9/$B$32)*'Inputs &amp; Parameters'!$B$7)+(('Barge - Liquid'!$B$68*4)/'Barge - Liquid'!$B$67)*VLOOKUP(A69,NPV!$B$4:$D$44,2,0)</f>
        <v>1410603.3140387614</v>
      </c>
      <c r="H69" s="86">
        <f t="shared" si="7"/>
        <v>487252.35780000006</v>
      </c>
      <c r="I69" s="86">
        <f>SUM(($B$4-1)*C69*$B$6,1*C69*$B$5)*VLOOKUP(A69,NPV!$B$4:$D$44,2,0)</f>
        <v>298961.52817858185</v>
      </c>
      <c r="J69" s="86">
        <f t="shared" si="8"/>
        <v>38500</v>
      </c>
      <c r="K69" s="86">
        <f>$B$11*0.5*VLOOKUP(A69,NPV!$B$4:$D$44,2,0)</f>
        <v>23622.294793696736</v>
      </c>
      <c r="L69" s="86"/>
      <c r="M69" s="86">
        <f t="shared" si="9"/>
        <v>1733187.1370110402</v>
      </c>
      <c r="N69" s="8"/>
      <c r="O69" s="86">
        <f>$D69*HLOOKUP($A69,'Barge (Build) - Dry'!$A$42:$Y$47,2,FALSE)*HLOOKUP($A69,'Barge (Build) - Dry'!$A$48:$Y$53,2,FALSE)</f>
        <v>210395.97714283041</v>
      </c>
      <c r="P69" s="86">
        <f>$D69*HLOOKUP($A69,'Barge (Build) - Dry'!$A$42:$Y$47,2,FALSE)*HLOOKUP($A69,'Barge (Build) - Dry'!$A$48:$Y$53,2,FALSE)*VLOOKUP(A69,NPV!$B$4:$D$44,3,0)</f>
        <v>153262.06877201056</v>
      </c>
      <c r="Q69" s="86">
        <f>$D69*HLOOKUP($A69,'Barge (Build) - Dry'!$A$42:$Y$47,3,FALSE)*HLOOKUP($A69,'Barge (Build) - Dry'!$A$48:$Y$53,3,FALSE)</f>
        <v>0</v>
      </c>
      <c r="R69" s="86">
        <f>$D69*HLOOKUP($A69,'Barge (Build) - Dry'!$A$42:$Y$47,3,FALSE)*HLOOKUP($A69,'Barge (Build) - Dry'!$A$48:$Y$53,3,FALSE)*VLOOKUP(A69,NPV!$B$4:$D$44,2,0)</f>
        <v>0</v>
      </c>
      <c r="S69" s="86">
        <f>$D69*HLOOKUP($A69,'Barge (Build) - Dry'!$A$42:$Y$47,4,FALSE)*HLOOKUP($A69,'Barge (Build) - Dry'!$A$48:$Y$53,4,FALSE)</f>
        <v>0</v>
      </c>
      <c r="T69" s="86">
        <f>$D69*HLOOKUP($A69,'Barge (Build) - Dry'!$A$42:$Y$47,4,FALSE)*HLOOKUP($A69,'Barge (Build) - Dry'!$A$48:$Y$53,4,FALSE)*VLOOKUP(A69,NPV!$B$4:$D$44,2,0)</f>
        <v>0</v>
      </c>
      <c r="U69" s="86">
        <f>$D69*HLOOKUP($A69,'Barge (Build) - Dry'!$A$42:$Y$47,5,FALSE)*HLOOKUP($A69,'Barge (Build) - Dry'!$A$48:$Y$53,5,FALSE)</f>
        <v>0</v>
      </c>
      <c r="V69" s="86">
        <f>$D69*HLOOKUP($A69,'Barge (Build) - Dry'!$A$42:$Y$47,5,FALSE)*HLOOKUP($A69,'Barge (Build) - Dry'!$A$48:$Y$53,5,FALSE)*VLOOKUP(A69,NPV!$B$4:$D$44,2,0)</f>
        <v>0</v>
      </c>
      <c r="W69" s="86">
        <f t="shared" si="10"/>
        <v>210395.97714283041</v>
      </c>
      <c r="X69" s="86">
        <f t="shared" si="11"/>
        <v>153262.06877201056</v>
      </c>
      <c r="Z69" s="86">
        <f>$B$10*'Barge (Build) - Dry'!$F$22*'Inputs &amp; Parameters'!$B$45</f>
        <v>104.59218409565987</v>
      </c>
      <c r="AA69" s="86">
        <f>$B$10*'Barge (Build) - Dry'!$F$22*'Inputs &amp; Parameters'!$B$45*VLOOKUP(A69,NPV!$B$4:$D$44,2,0)</f>
        <v>64.174218333098096</v>
      </c>
      <c r="AB69" s="86">
        <f>$B$10*'Barge (Build) - Dry'!$E$22*'Inputs &amp; Parameters'!$B$44</f>
        <v>2013.2598436359044</v>
      </c>
      <c r="AC69" s="86">
        <f>$B$10*'Barge (Build) - Dry'!$E$22*'Inputs &amp; Parameters'!$B$44*VLOOKUP(A69,NPV!$B$4:$D$44,2,0)</f>
        <v>1235.2679876020554</v>
      </c>
      <c r="AD69" s="86">
        <f t="shared" si="12"/>
        <v>2117.8520277315642</v>
      </c>
      <c r="AE69" s="86">
        <f t="shared" si="13"/>
        <v>1299.4422059351534</v>
      </c>
      <c r="AF69" s="149"/>
      <c r="AG69" s="86">
        <f t="shared" si="4"/>
        <v>212513.82917056198</v>
      </c>
      <c r="AH69" s="86">
        <f t="shared" si="5"/>
        <v>1887748.647988986</v>
      </c>
    </row>
    <row r="70" spans="1:34" x14ac:dyDescent="0.25">
      <c r="A70" s="5">
        <f t="shared" si="14"/>
        <v>2039</v>
      </c>
      <c r="B70" s="10">
        <f t="shared" si="6"/>
        <v>122.48676666666668</v>
      </c>
      <c r="C70" s="10">
        <f>B70*'Inputs &amp; Parameters'!$C$20/60</f>
        <v>2204.7618000000002</v>
      </c>
      <c r="D70" s="10">
        <f>B70*'Inputs &amp; Parameters'!$B$20</f>
        <v>16068.898916625703</v>
      </c>
      <c r="E70" s="91"/>
      <c r="F70" s="86">
        <f>(($B$9/$B$32)*'Inputs &amp; Parameters'!$B$7)+(('Barge - Liquid'!$B$68*$B$12)/'Barge - Liquid'!$B$67)</f>
        <v>2183471.1169636063</v>
      </c>
      <c r="G70" s="86">
        <f>(($B$9/$B$32)*'Inputs &amp; Parameters'!$B$7)+(('Barge - Liquid'!$B$68*4)/'Barge - Liquid'!$B$67)*VLOOKUP(A70,NPV!$B$4:$D$44,2,0)</f>
        <v>1373706.0316824766</v>
      </c>
      <c r="H70" s="86">
        <f t="shared" si="7"/>
        <v>487252.35780000006</v>
      </c>
      <c r="I70" s="86">
        <f>SUM(($B$4-1)*C70*$B$6,1*C70*$B$5)*VLOOKUP(A70,NPV!$B$4:$D$44,2,0)</f>
        <v>289972.38426632574</v>
      </c>
      <c r="J70" s="86">
        <f t="shared" si="8"/>
        <v>38500</v>
      </c>
      <c r="K70" s="86">
        <f>$B$11*0.5*VLOOKUP(A70,NPV!$B$4:$D$44,2,0)</f>
        <v>22912.022108338253</v>
      </c>
      <c r="L70" s="86"/>
      <c r="M70" s="86">
        <f t="shared" si="9"/>
        <v>1686590.4380571407</v>
      </c>
      <c r="N70" s="8"/>
      <c r="O70" s="86">
        <f>$D70*HLOOKUP($A70,'Barge (Build) - Dry'!$A$42:$Y$47,2,FALSE)*HLOOKUP($A70,'Barge (Build) - Dry'!$A$48:$Y$53,2,FALSE)</f>
        <v>213645.33586318302</v>
      </c>
      <c r="P70" s="86">
        <f>$D70*HLOOKUP($A70,'Barge (Build) - Dry'!$A$42:$Y$47,2,FALSE)*HLOOKUP($A70,'Barge (Build) - Dry'!$A$48:$Y$53,2,FALSE)*VLOOKUP(A70,NPV!$B$4:$D$44,3,0)</f>
        <v>152577.50051873262</v>
      </c>
      <c r="Q70" s="86">
        <f>$D70*HLOOKUP($A70,'Barge (Build) - Dry'!$A$42:$Y$47,3,FALSE)*HLOOKUP($A70,'Barge (Build) - Dry'!$A$48:$Y$53,3,FALSE)</f>
        <v>0</v>
      </c>
      <c r="R70" s="86">
        <f>$D70*HLOOKUP($A70,'Barge (Build) - Dry'!$A$42:$Y$47,3,FALSE)*HLOOKUP($A70,'Barge (Build) - Dry'!$A$48:$Y$53,3,FALSE)*VLOOKUP(A70,NPV!$B$4:$D$44,2,0)</f>
        <v>0</v>
      </c>
      <c r="S70" s="86">
        <f>$D70*HLOOKUP($A70,'Barge (Build) - Dry'!$A$42:$Y$47,4,FALSE)*HLOOKUP($A70,'Barge (Build) - Dry'!$A$48:$Y$53,4,FALSE)</f>
        <v>0</v>
      </c>
      <c r="T70" s="86">
        <f>$D70*HLOOKUP($A70,'Barge (Build) - Dry'!$A$42:$Y$47,4,FALSE)*HLOOKUP($A70,'Barge (Build) - Dry'!$A$48:$Y$53,4,FALSE)*VLOOKUP(A70,NPV!$B$4:$D$44,2,0)</f>
        <v>0</v>
      </c>
      <c r="U70" s="86">
        <f>$D70*HLOOKUP($A70,'Barge (Build) - Dry'!$A$42:$Y$47,5,FALSE)*HLOOKUP($A70,'Barge (Build) - Dry'!$A$48:$Y$53,5,FALSE)</f>
        <v>0</v>
      </c>
      <c r="V70" s="86">
        <f>$D70*HLOOKUP($A70,'Barge (Build) - Dry'!$A$42:$Y$47,5,FALSE)*HLOOKUP($A70,'Barge (Build) - Dry'!$A$48:$Y$53,5,FALSE)*VLOOKUP(A70,NPV!$B$4:$D$44,2,0)</f>
        <v>0</v>
      </c>
      <c r="W70" s="86">
        <f t="shared" si="10"/>
        <v>213645.33586318302</v>
      </c>
      <c r="X70" s="86">
        <f t="shared" si="11"/>
        <v>152577.50051873262</v>
      </c>
      <c r="Z70" s="86">
        <f>$B$10*'Barge (Build) - Dry'!$F$22*'Inputs &amp; Parameters'!$B$45</f>
        <v>104.59218409565987</v>
      </c>
      <c r="AA70" s="86">
        <f>$B$10*'Barge (Build) - Dry'!$F$22*'Inputs &amp; Parameters'!$B$45*VLOOKUP(A70,NPV!$B$4:$D$44,2,0)</f>
        <v>62.244634658679054</v>
      </c>
      <c r="AB70" s="86">
        <f>$B$10*'Barge (Build) - Dry'!$E$22*'Inputs &amp; Parameters'!$B$44</f>
        <v>2013.2598436359044</v>
      </c>
      <c r="AC70" s="86">
        <f>$B$10*'Barge (Build) - Dry'!$E$22*'Inputs &amp; Parameters'!$B$44*VLOOKUP(A70,NPV!$B$4:$D$44,2,0)</f>
        <v>1198.1260791484533</v>
      </c>
      <c r="AD70" s="86">
        <f t="shared" si="12"/>
        <v>2117.8520277315642</v>
      </c>
      <c r="AE70" s="86">
        <f t="shared" si="13"/>
        <v>1260.3707138071325</v>
      </c>
      <c r="AF70" s="149"/>
      <c r="AG70" s="86">
        <f t="shared" si="4"/>
        <v>215763.18789091459</v>
      </c>
      <c r="AH70" s="86">
        <f t="shared" si="5"/>
        <v>1840428.3092896806</v>
      </c>
    </row>
    <row r="71" spans="1:34" x14ac:dyDescent="0.25">
      <c r="A71" s="5">
        <f t="shared" si="14"/>
        <v>2040</v>
      </c>
      <c r="B71" s="10">
        <f t="shared" si="6"/>
        <v>122.48676666666668</v>
      </c>
      <c r="C71" s="10">
        <f>B71*'Inputs &amp; Parameters'!$C$20/60</f>
        <v>2204.7618000000002</v>
      </c>
      <c r="D71" s="10">
        <f>B71*'Inputs &amp; Parameters'!$B$20</f>
        <v>16068.898916625703</v>
      </c>
      <c r="E71" s="91"/>
      <c r="F71" s="86">
        <f>(($B$9/$B$32)*'Inputs &amp; Parameters'!$B$7)+(('Barge - Liquid'!$B$68*$B$12)/'Barge - Liquid'!$B$67)</f>
        <v>2183471.1169636063</v>
      </c>
      <c r="G71" s="86">
        <f>(($B$9/$B$32)*'Inputs &amp; Parameters'!$B$7)+(('Barge - Liquid'!$B$68*4)/'Barge - Liquid'!$B$67)*VLOOKUP(A71,NPV!$B$4:$D$44,2,0)</f>
        <v>1337918.1729469919</v>
      </c>
      <c r="H71" s="86">
        <f t="shared" si="7"/>
        <v>487252.35780000006</v>
      </c>
      <c r="I71" s="86">
        <f>SUM(($B$4-1)*C71*$B$6,1*C71*$B$5)*VLOOKUP(A71,NPV!$B$4:$D$44,2,0)</f>
        <v>281253.52499158663</v>
      </c>
      <c r="J71" s="86">
        <f t="shared" si="8"/>
        <v>38500</v>
      </c>
      <c r="K71" s="86">
        <f>$B$11*0.5*VLOOKUP(A71,NPV!$B$4:$D$44,2,0)</f>
        <v>22223.10582768017</v>
      </c>
      <c r="L71" s="86"/>
      <c r="M71" s="86">
        <f t="shared" si="9"/>
        <v>1641394.8037662585</v>
      </c>
      <c r="N71" s="8"/>
      <c r="O71" s="86">
        <f>$D71*HLOOKUP($A71,'Barge (Build) - Dry'!$A$42:$Y$47,2,FALSE)*HLOOKUP($A71,'Barge (Build) - Dry'!$A$48:$Y$53,2,FALSE)</f>
        <v>216894.69458353563</v>
      </c>
      <c r="P71" s="86">
        <f>$D71*HLOOKUP($A71,'Barge (Build) - Dry'!$A$42:$Y$47,2,FALSE)*HLOOKUP($A71,'Barge (Build) - Dry'!$A$48:$Y$53,2,FALSE)*VLOOKUP(A71,NPV!$B$4:$D$44,3,0)</f>
        <v>151860.85379296806</v>
      </c>
      <c r="Q71" s="86">
        <f>$D71*HLOOKUP($A71,'Barge (Build) - Dry'!$A$42:$Y$47,3,FALSE)*HLOOKUP($A71,'Barge (Build) - Dry'!$A$48:$Y$53,3,FALSE)</f>
        <v>0</v>
      </c>
      <c r="R71" s="86">
        <f>$D71*HLOOKUP($A71,'Barge (Build) - Dry'!$A$42:$Y$47,3,FALSE)*HLOOKUP($A71,'Barge (Build) - Dry'!$A$48:$Y$53,3,FALSE)*VLOOKUP(A71,NPV!$B$4:$D$44,2,0)</f>
        <v>0</v>
      </c>
      <c r="S71" s="86">
        <f>$D71*HLOOKUP($A71,'Barge (Build) - Dry'!$A$42:$Y$47,4,FALSE)*HLOOKUP($A71,'Barge (Build) - Dry'!$A$48:$Y$53,4,FALSE)</f>
        <v>0</v>
      </c>
      <c r="T71" s="86">
        <f>$D71*HLOOKUP($A71,'Barge (Build) - Dry'!$A$42:$Y$47,4,FALSE)*HLOOKUP($A71,'Barge (Build) - Dry'!$A$48:$Y$53,4,FALSE)*VLOOKUP(A71,NPV!$B$4:$D$44,2,0)</f>
        <v>0</v>
      </c>
      <c r="U71" s="86">
        <f>$D71*HLOOKUP($A71,'Barge (Build) - Dry'!$A$42:$Y$47,5,FALSE)*HLOOKUP($A71,'Barge (Build) - Dry'!$A$48:$Y$53,5,FALSE)</f>
        <v>0</v>
      </c>
      <c r="V71" s="86">
        <f>$D71*HLOOKUP($A71,'Barge (Build) - Dry'!$A$42:$Y$47,5,FALSE)*HLOOKUP($A71,'Barge (Build) - Dry'!$A$48:$Y$53,5,FALSE)*VLOOKUP(A71,NPV!$B$4:$D$44,2,0)</f>
        <v>0</v>
      </c>
      <c r="W71" s="86">
        <f t="shared" si="10"/>
        <v>216894.69458353563</v>
      </c>
      <c r="X71" s="86">
        <f t="shared" si="11"/>
        <v>151860.85379296806</v>
      </c>
      <c r="Z71" s="86">
        <f>$B$10*'Barge (Build) - Dry'!$F$22*'Inputs &amp; Parameters'!$B$45</f>
        <v>104.59218409565987</v>
      </c>
      <c r="AA71" s="86">
        <f>$B$10*'Barge (Build) - Dry'!$F$22*'Inputs &amp; Parameters'!$B$45*VLOOKUP(A71,NPV!$B$4:$D$44,2,0)</f>
        <v>60.373069504053404</v>
      </c>
      <c r="AB71" s="86">
        <f>$B$10*'Barge (Build) - Dry'!$E$22*'Inputs &amp; Parameters'!$B$44</f>
        <v>2013.2598436359044</v>
      </c>
      <c r="AC71" s="86">
        <f>$B$10*'Barge (Build) - Dry'!$E$22*'Inputs &amp; Parameters'!$B$44*VLOOKUP(A71,NPV!$B$4:$D$44,2,0)</f>
        <v>1162.1009497075204</v>
      </c>
      <c r="AD71" s="86">
        <f t="shared" si="12"/>
        <v>2117.8520277315642</v>
      </c>
      <c r="AE71" s="86">
        <f t="shared" si="13"/>
        <v>1222.4740192115737</v>
      </c>
      <c r="AF71" s="149"/>
      <c r="AG71" s="86">
        <f t="shared" si="4"/>
        <v>219012.5466112672</v>
      </c>
      <c r="AH71" s="86">
        <f t="shared" si="5"/>
        <v>1794478.131578438</v>
      </c>
    </row>
    <row r="72" spans="1:34" x14ac:dyDescent="0.25">
      <c r="A72" s="5">
        <f t="shared" si="14"/>
        <v>2041</v>
      </c>
      <c r="B72" s="10">
        <f t="shared" si="6"/>
        <v>122.48676666666668</v>
      </c>
      <c r="C72" s="10">
        <f>B72*'Inputs &amp; Parameters'!$C$20/60</f>
        <v>2204.7618000000002</v>
      </c>
      <c r="D72" s="10">
        <f>B72*'Inputs &amp; Parameters'!$B$20</f>
        <v>16068.898916625703</v>
      </c>
      <c r="E72" s="91"/>
      <c r="F72" s="86">
        <f>(($B$9/$B$32)*'Inputs &amp; Parameters'!$B$7)+(('Barge - Liquid'!$B$68*$B$12)/'Barge - Liquid'!$B$67)</f>
        <v>2183471.1169636063</v>
      </c>
      <c r="G72" s="86">
        <f>(($B$9/$B$32)*'Inputs &amp; Parameters'!$B$7)+(('Barge - Liquid'!$B$68*4)/'Barge - Liquid'!$B$67)*VLOOKUP(A72,NPV!$B$4:$D$44,2,0)</f>
        <v>1303206.379799092</v>
      </c>
      <c r="H72" s="86">
        <f t="shared" si="7"/>
        <v>487252.35780000006</v>
      </c>
      <c r="I72" s="86">
        <f>SUM(($B$4-1)*C72*$B$6,1*C72*$B$5)*VLOOKUP(A72,NPV!$B$4:$D$44,2,0)</f>
        <v>272796.82346419652</v>
      </c>
      <c r="J72" s="86">
        <f t="shared" si="8"/>
        <v>38500</v>
      </c>
      <c r="K72" s="86">
        <f>$B$11*0.5*VLOOKUP(A72,NPV!$B$4:$D$44,2,0)</f>
        <v>21554.903809583095</v>
      </c>
      <c r="L72" s="86"/>
      <c r="M72" s="86">
        <f t="shared" si="9"/>
        <v>1597558.1070728714</v>
      </c>
      <c r="N72" s="8"/>
      <c r="O72" s="86">
        <f>$D72*HLOOKUP($A72,'Barge (Build) - Dry'!$A$42:$Y$47,2,FALSE)*HLOOKUP($A72,'Barge (Build) - Dry'!$A$48:$Y$53,2,FALSE)</f>
        <v>220144.05330388818</v>
      </c>
      <c r="P72" s="86">
        <f>$D72*HLOOKUP($A72,'Barge (Build) - Dry'!$A$42:$Y$47,2,FALSE)*HLOOKUP($A72,'Barge (Build) - Dry'!$A$48:$Y$53,2,FALSE)*VLOOKUP(A72,NPV!$B$4:$D$44,3,0)</f>
        <v>151113.64976828353</v>
      </c>
      <c r="Q72" s="86">
        <f>$D72*HLOOKUP($A72,'Barge (Build) - Dry'!$A$42:$Y$47,3,FALSE)*HLOOKUP($A72,'Barge (Build) - Dry'!$A$48:$Y$53,3,FALSE)</f>
        <v>0</v>
      </c>
      <c r="R72" s="86">
        <f>$D72*HLOOKUP($A72,'Barge (Build) - Dry'!$A$42:$Y$47,3,FALSE)*HLOOKUP($A72,'Barge (Build) - Dry'!$A$48:$Y$53,3,FALSE)*VLOOKUP(A72,NPV!$B$4:$D$44,2,0)</f>
        <v>0</v>
      </c>
      <c r="S72" s="86">
        <f>$D72*HLOOKUP($A72,'Barge (Build) - Dry'!$A$42:$Y$47,4,FALSE)*HLOOKUP($A72,'Barge (Build) - Dry'!$A$48:$Y$53,4,FALSE)</f>
        <v>0</v>
      </c>
      <c r="T72" s="86">
        <f>$D72*HLOOKUP($A72,'Barge (Build) - Dry'!$A$42:$Y$47,4,FALSE)*HLOOKUP($A72,'Barge (Build) - Dry'!$A$48:$Y$53,4,FALSE)*VLOOKUP(A72,NPV!$B$4:$D$44,2,0)</f>
        <v>0</v>
      </c>
      <c r="U72" s="86">
        <f>$D72*HLOOKUP($A72,'Barge (Build) - Dry'!$A$42:$Y$47,5,FALSE)*HLOOKUP($A72,'Barge (Build) - Dry'!$A$48:$Y$53,5,FALSE)</f>
        <v>0</v>
      </c>
      <c r="V72" s="86">
        <f>$D72*HLOOKUP($A72,'Barge (Build) - Dry'!$A$42:$Y$47,5,FALSE)*HLOOKUP($A72,'Barge (Build) - Dry'!$A$48:$Y$53,5,FALSE)*VLOOKUP(A72,NPV!$B$4:$D$44,2,0)</f>
        <v>0</v>
      </c>
      <c r="W72" s="86">
        <f t="shared" si="10"/>
        <v>220144.05330388818</v>
      </c>
      <c r="X72" s="86">
        <f t="shared" si="11"/>
        <v>151113.64976828353</v>
      </c>
      <c r="Z72" s="86">
        <f>$B$10*'Barge (Build) - Dry'!$F$22*'Inputs &amp; Parameters'!$B$45</f>
        <v>104.59218409565987</v>
      </c>
      <c r="AA72" s="86">
        <f>$B$10*'Barge (Build) - Dry'!$F$22*'Inputs &amp; Parameters'!$B$45*VLOOKUP(A72,NPV!$B$4:$D$44,2,0)</f>
        <v>58.557778374445597</v>
      </c>
      <c r="AB72" s="86">
        <f>$B$10*'Barge (Build) - Dry'!$E$22*'Inputs &amp; Parameters'!$B$44</f>
        <v>2013.2598436359044</v>
      </c>
      <c r="AC72" s="86">
        <f>$B$10*'Barge (Build) - Dry'!$E$22*'Inputs &amp; Parameters'!$B$44*VLOOKUP(A72,NPV!$B$4:$D$44,2,0)</f>
        <v>1127.1590200848889</v>
      </c>
      <c r="AD72" s="86">
        <f t="shared" si="12"/>
        <v>2117.8520277315642</v>
      </c>
      <c r="AE72" s="86">
        <f t="shared" si="13"/>
        <v>1185.7167984593345</v>
      </c>
      <c r="AF72" s="149"/>
      <c r="AG72" s="86">
        <f t="shared" si="4"/>
        <v>222261.90533161975</v>
      </c>
      <c r="AH72" s="86">
        <f t="shared" si="5"/>
        <v>1749857.4736396144</v>
      </c>
    </row>
    <row r="73" spans="1:34" x14ac:dyDescent="0.25">
      <c r="A73" s="5">
        <f t="shared" si="14"/>
        <v>2042</v>
      </c>
      <c r="B73" s="10">
        <f t="shared" si="6"/>
        <v>122.48676666666668</v>
      </c>
      <c r="C73" s="10">
        <f>B73*'Inputs &amp; Parameters'!$C$20/60</f>
        <v>2204.7618000000002</v>
      </c>
      <c r="D73" s="10">
        <f>B73*'Inputs &amp; Parameters'!$B$20</f>
        <v>16068.898916625703</v>
      </c>
      <c r="E73" s="91"/>
      <c r="F73" s="86">
        <f>(($B$9/$B$32)*'Inputs &amp; Parameters'!$B$7)+(('Barge - Liquid'!$B$68*$B$12)/'Barge - Liquid'!$B$67)</f>
        <v>2183471.1169636063</v>
      </c>
      <c r="G73" s="86">
        <f>(($B$9/$B$32)*'Inputs &amp; Parameters'!$B$7)+(('Barge - Liquid'!$B$68*4)/'Barge - Liquid'!$B$67)*VLOOKUP(A73,NPV!$B$4:$D$44,2,0)</f>
        <v>1269538.29721141</v>
      </c>
      <c r="H73" s="86">
        <f t="shared" si="7"/>
        <v>487252.35780000006</v>
      </c>
      <c r="I73" s="86">
        <f>SUM(($B$4-1)*C73*$B$6,1*C73*$B$5)*VLOOKUP(A73,NPV!$B$4:$D$44,2,0)</f>
        <v>264594.39715247002</v>
      </c>
      <c r="J73" s="86">
        <f t="shared" si="8"/>
        <v>38500</v>
      </c>
      <c r="K73" s="86">
        <f>$B$11*0.5*VLOOKUP(A73,NPV!$B$4:$D$44,2,0)</f>
        <v>20906.793219770221</v>
      </c>
      <c r="L73" s="86"/>
      <c r="M73" s="86">
        <f t="shared" si="9"/>
        <v>1555039.4875836503</v>
      </c>
      <c r="N73" s="8"/>
      <c r="O73" s="86">
        <f>$D73*HLOOKUP($A73,'Barge (Build) - Dry'!$A$42:$Y$47,2,FALSE)*HLOOKUP($A73,'Barge (Build) - Dry'!$A$48:$Y$53,2,FALSE)</f>
        <v>223393.4120242408</v>
      </c>
      <c r="P73" s="86">
        <f>$D73*HLOOKUP($A73,'Barge (Build) - Dry'!$A$42:$Y$47,2,FALSE)*HLOOKUP($A73,'Barge (Build) - Dry'!$A$48:$Y$53,2,FALSE)*VLOOKUP(A73,NPV!$B$4:$D$44,3,0)</f>
        <v>150337.36229751096</v>
      </c>
      <c r="Q73" s="86">
        <f>$D73*HLOOKUP($A73,'Barge (Build) - Dry'!$A$42:$Y$47,3,FALSE)*HLOOKUP($A73,'Barge (Build) - Dry'!$A$48:$Y$53,3,FALSE)</f>
        <v>0</v>
      </c>
      <c r="R73" s="86">
        <f>$D73*HLOOKUP($A73,'Barge (Build) - Dry'!$A$42:$Y$47,3,FALSE)*HLOOKUP($A73,'Barge (Build) - Dry'!$A$48:$Y$53,3,FALSE)*VLOOKUP(A73,NPV!$B$4:$D$44,2,0)</f>
        <v>0</v>
      </c>
      <c r="S73" s="86">
        <f>$D73*HLOOKUP($A73,'Barge (Build) - Dry'!$A$42:$Y$47,4,FALSE)*HLOOKUP($A73,'Barge (Build) - Dry'!$A$48:$Y$53,4,FALSE)</f>
        <v>0</v>
      </c>
      <c r="T73" s="86">
        <f>$D73*HLOOKUP($A73,'Barge (Build) - Dry'!$A$42:$Y$47,4,FALSE)*HLOOKUP($A73,'Barge (Build) - Dry'!$A$48:$Y$53,4,FALSE)*VLOOKUP(A73,NPV!$B$4:$D$44,2,0)</f>
        <v>0</v>
      </c>
      <c r="U73" s="86">
        <f>$D73*HLOOKUP($A73,'Barge (Build) - Dry'!$A$42:$Y$47,5,FALSE)*HLOOKUP($A73,'Barge (Build) - Dry'!$A$48:$Y$53,5,FALSE)</f>
        <v>0</v>
      </c>
      <c r="V73" s="86">
        <f>$D73*HLOOKUP($A73,'Barge (Build) - Dry'!$A$42:$Y$47,5,FALSE)*HLOOKUP($A73,'Barge (Build) - Dry'!$A$48:$Y$53,5,FALSE)*VLOOKUP(A73,NPV!$B$4:$D$44,2,0)</f>
        <v>0</v>
      </c>
      <c r="W73" s="86">
        <f t="shared" si="10"/>
        <v>223393.4120242408</v>
      </c>
      <c r="X73" s="86">
        <f t="shared" si="11"/>
        <v>150337.36229751096</v>
      </c>
      <c r="Z73" s="86">
        <f>$B$10*'Barge (Build) - Dry'!$F$22*'Inputs &amp; Parameters'!$B$45</f>
        <v>104.59218409565987</v>
      </c>
      <c r="AA73" s="86">
        <f>$B$10*'Barge (Build) - Dry'!$F$22*'Inputs &amp; Parameters'!$B$45*VLOOKUP(A73,NPV!$B$4:$D$44,2,0)</f>
        <v>56.797069228366247</v>
      </c>
      <c r="AB73" s="86">
        <f>$B$10*'Barge (Build) - Dry'!$E$22*'Inputs &amp; Parameters'!$B$44</f>
        <v>2013.2598436359044</v>
      </c>
      <c r="AC73" s="86">
        <f>$B$10*'Barge (Build) - Dry'!$E$22*'Inputs &amp; Parameters'!$B$44*VLOOKUP(A73,NPV!$B$4:$D$44,2,0)</f>
        <v>1093.2677207418903</v>
      </c>
      <c r="AD73" s="86">
        <f t="shared" si="12"/>
        <v>2117.8520277315642</v>
      </c>
      <c r="AE73" s="86">
        <f t="shared" si="13"/>
        <v>1150.0647899702567</v>
      </c>
      <c r="AF73" s="149"/>
      <c r="AG73" s="86">
        <f t="shared" si="4"/>
        <v>225511.26405197236</v>
      </c>
      <c r="AH73" s="86">
        <f t="shared" si="5"/>
        <v>1706526.9146711314</v>
      </c>
    </row>
    <row r="74" spans="1:34" x14ac:dyDescent="0.25">
      <c r="A74" s="5">
        <f t="shared" si="14"/>
        <v>2043</v>
      </c>
      <c r="B74" s="10">
        <f t="shared" si="6"/>
        <v>122.48676666666668</v>
      </c>
      <c r="C74" s="10">
        <f>B74*'Inputs &amp; Parameters'!$C$20/60</f>
        <v>2204.7618000000002</v>
      </c>
      <c r="D74" s="10">
        <f>B74*'Inputs &amp; Parameters'!$B$20</f>
        <v>16068.898916625703</v>
      </c>
      <c r="E74" s="91"/>
      <c r="F74" s="86">
        <f>(($B$9/$B$32)*'Inputs &amp; Parameters'!$B$7)+(('Barge - Liquid'!$B$68*$B$12)/'Barge - Liquid'!$B$67)</f>
        <v>2183471.1169636063</v>
      </c>
      <c r="G74" s="86">
        <f>(($B$9/$B$32)*'Inputs &amp; Parameters'!$B$7)+(('Barge - Liquid'!$B$68*4)/'Barge - Liquid'!$B$67)*VLOOKUP(A74,NPV!$B$4:$D$44,2,0)</f>
        <v>1236882.5430041531</v>
      </c>
      <c r="H74" s="86">
        <f t="shared" si="7"/>
        <v>487252.35780000006</v>
      </c>
      <c r="I74" s="86">
        <f>SUM(($B$4-1)*C74*$B$6,1*C74*$B$5)*VLOOKUP(A74,NPV!$B$4:$D$44,2,0)</f>
        <v>256638.60053585839</v>
      </c>
      <c r="J74" s="86">
        <f t="shared" si="8"/>
        <v>38500</v>
      </c>
      <c r="K74" s="86">
        <f>$B$11*0.5*VLOOKUP(A74,NPV!$B$4:$D$44,2,0)</f>
        <v>20278.169951280524</v>
      </c>
      <c r="L74" s="86"/>
      <c r="M74" s="86">
        <f t="shared" si="9"/>
        <v>1513799.3134912921</v>
      </c>
      <c r="N74" s="8"/>
      <c r="O74" s="86">
        <f>$D74*HLOOKUP($A74,'Barge (Build) - Dry'!$A$42:$Y$47,2,FALSE)*HLOOKUP($A74,'Barge (Build) - Dry'!$A$48:$Y$53,2,FALSE)</f>
        <v>226642.77074459341</v>
      </c>
      <c r="P74" s="86">
        <f>$D74*HLOOKUP($A74,'Barge (Build) - Dry'!$A$42:$Y$47,2,FALSE)*HLOOKUP($A74,'Barge (Build) - Dry'!$A$48:$Y$53,2,FALSE)*VLOOKUP(A74,NPV!$B$4:$D$44,3,0)</f>
        <v>149533.41918362054</v>
      </c>
      <c r="Q74" s="86">
        <f>$D74*HLOOKUP($A74,'Barge (Build) - Dry'!$A$42:$Y$47,3,FALSE)*HLOOKUP($A74,'Barge (Build) - Dry'!$A$48:$Y$53,3,FALSE)</f>
        <v>0</v>
      </c>
      <c r="R74" s="86">
        <f>$D74*HLOOKUP($A74,'Barge (Build) - Dry'!$A$42:$Y$47,3,FALSE)*HLOOKUP($A74,'Barge (Build) - Dry'!$A$48:$Y$53,3,FALSE)*VLOOKUP(A74,NPV!$B$4:$D$44,2,0)</f>
        <v>0</v>
      </c>
      <c r="S74" s="86">
        <f>$D74*HLOOKUP($A74,'Barge (Build) - Dry'!$A$42:$Y$47,4,FALSE)*HLOOKUP($A74,'Barge (Build) - Dry'!$A$48:$Y$53,4,FALSE)</f>
        <v>0</v>
      </c>
      <c r="T74" s="86">
        <f>$D74*HLOOKUP($A74,'Barge (Build) - Dry'!$A$42:$Y$47,4,FALSE)*HLOOKUP($A74,'Barge (Build) - Dry'!$A$48:$Y$53,4,FALSE)*VLOOKUP(A74,NPV!$B$4:$D$44,2,0)</f>
        <v>0</v>
      </c>
      <c r="U74" s="86">
        <f>$D74*HLOOKUP($A74,'Barge (Build) - Dry'!$A$42:$Y$47,5,FALSE)*HLOOKUP($A74,'Barge (Build) - Dry'!$A$48:$Y$53,5,FALSE)</f>
        <v>0</v>
      </c>
      <c r="V74" s="86">
        <f>$D74*HLOOKUP($A74,'Barge (Build) - Dry'!$A$42:$Y$47,5,FALSE)*HLOOKUP($A74,'Barge (Build) - Dry'!$A$48:$Y$53,5,FALSE)*VLOOKUP(A74,NPV!$B$4:$D$44,2,0)</f>
        <v>0</v>
      </c>
      <c r="W74" s="86">
        <f t="shared" si="10"/>
        <v>226642.77074459341</v>
      </c>
      <c r="X74" s="86">
        <f t="shared" si="11"/>
        <v>149533.41918362054</v>
      </c>
      <c r="Z74" s="86">
        <f>$B$10*'Barge (Build) - Dry'!$F$22*'Inputs &amp; Parameters'!$B$45</f>
        <v>104.59218409565987</v>
      </c>
      <c r="AA74" s="86">
        <f>$B$10*'Barge (Build) - Dry'!$F$22*'Inputs &amp; Parameters'!$B$45*VLOOKUP(A74,NPV!$B$4:$D$44,2,0)</f>
        <v>55.08930090045223</v>
      </c>
      <c r="AB74" s="86">
        <f>$B$10*'Barge (Build) - Dry'!$E$22*'Inputs &amp; Parameters'!$B$44</f>
        <v>2013.2598436359044</v>
      </c>
      <c r="AC74" s="86">
        <f>$B$10*'Barge (Build) - Dry'!$E$22*'Inputs &amp; Parameters'!$B$44*VLOOKUP(A74,NPV!$B$4:$D$44,2,0)</f>
        <v>1060.3954614373331</v>
      </c>
      <c r="AD74" s="86">
        <f t="shared" si="12"/>
        <v>2117.8520277315642</v>
      </c>
      <c r="AE74" s="86">
        <f t="shared" si="13"/>
        <v>1115.4847623377852</v>
      </c>
      <c r="AF74" s="149"/>
      <c r="AG74" s="86">
        <f t="shared" si="4"/>
        <v>228760.62277232498</v>
      </c>
      <c r="AH74" s="86">
        <f t="shared" si="5"/>
        <v>1664448.2174372503</v>
      </c>
    </row>
    <row r="75" spans="1:34" x14ac:dyDescent="0.25">
      <c r="A75" s="5">
        <f t="shared" si="14"/>
        <v>2044</v>
      </c>
      <c r="B75" s="10">
        <f t="shared" si="6"/>
        <v>122.48676666666668</v>
      </c>
      <c r="C75" s="10">
        <f>B75*'Inputs &amp; Parameters'!$C$20/60</f>
        <v>2204.7618000000002</v>
      </c>
      <c r="D75" s="10">
        <f>B75*'Inputs &amp; Parameters'!$B$20</f>
        <v>16068.898916625703</v>
      </c>
      <c r="E75" s="91"/>
      <c r="F75" s="86">
        <f>(($B$9/$B$32)*'Inputs &amp; Parameters'!$B$7)+(('Barge - Liquid'!$B$68*$B$12)/'Barge - Liquid'!$B$67)</f>
        <v>2183471.1169636063</v>
      </c>
      <c r="G75" s="86">
        <f>(($B$9/$B$32)*'Inputs &amp; Parameters'!$B$7)+(('Barge - Liquid'!$B$68*4)/'Barge - Liquid'!$B$67)*VLOOKUP(A75,NPV!$B$4:$D$44,2,0)</f>
        <v>1205208.6785936228</v>
      </c>
      <c r="H75" s="86">
        <f t="shared" si="7"/>
        <v>487252.35780000006</v>
      </c>
      <c r="I75" s="86">
        <f>SUM(($B$4-1)*C75*$B$6,1*C75*$B$5)*VLOOKUP(A75,NPV!$B$4:$D$44,2,0)</f>
        <v>248922.01797852418</v>
      </c>
      <c r="J75" s="86">
        <f t="shared" si="8"/>
        <v>38500</v>
      </c>
      <c r="K75" s="86">
        <f>$B$11*0.5*VLOOKUP(A75,NPV!$B$4:$D$44,2,0)</f>
        <v>19668.448061377814</v>
      </c>
      <c r="L75" s="86"/>
      <c r="M75" s="86">
        <f t="shared" si="9"/>
        <v>1473799.1446335246</v>
      </c>
      <c r="N75" s="8"/>
      <c r="O75" s="86">
        <f>$D75*HLOOKUP($A75,'Barge (Build) - Dry'!$A$42:$Y$47,2,FALSE)*HLOOKUP($A75,'Barge (Build) - Dry'!$A$48:$Y$53,2,FALSE)</f>
        <v>229892.12946494596</v>
      </c>
      <c r="P75" s="86">
        <f>$D75*HLOOKUP($A75,'Barge (Build) - Dry'!$A$42:$Y$47,2,FALSE)*HLOOKUP($A75,'Barge (Build) - Dry'!$A$48:$Y$53,2,FALSE)*VLOOKUP(A75,NPV!$B$4:$D$44,3,0)</f>
        <v>148703.20341894933</v>
      </c>
      <c r="Q75" s="86">
        <f>$D75*HLOOKUP($A75,'Barge (Build) - Dry'!$A$42:$Y$47,3,FALSE)*HLOOKUP($A75,'Barge (Build) - Dry'!$A$48:$Y$53,3,FALSE)</f>
        <v>0</v>
      </c>
      <c r="R75" s="86">
        <f>$D75*HLOOKUP($A75,'Barge (Build) - Dry'!$A$42:$Y$47,3,FALSE)*HLOOKUP($A75,'Barge (Build) - Dry'!$A$48:$Y$53,3,FALSE)*VLOOKUP(A75,NPV!$B$4:$D$44,2,0)</f>
        <v>0</v>
      </c>
      <c r="S75" s="86">
        <f>$D75*HLOOKUP($A75,'Barge (Build) - Dry'!$A$42:$Y$47,4,FALSE)*HLOOKUP($A75,'Barge (Build) - Dry'!$A$48:$Y$53,4,FALSE)</f>
        <v>0</v>
      </c>
      <c r="T75" s="86">
        <f>$D75*HLOOKUP($A75,'Barge (Build) - Dry'!$A$42:$Y$47,4,FALSE)*HLOOKUP($A75,'Barge (Build) - Dry'!$A$48:$Y$53,4,FALSE)*VLOOKUP(A75,NPV!$B$4:$D$44,2,0)</f>
        <v>0</v>
      </c>
      <c r="U75" s="86">
        <f>$D75*HLOOKUP($A75,'Barge (Build) - Dry'!$A$42:$Y$47,5,FALSE)*HLOOKUP($A75,'Barge (Build) - Dry'!$A$48:$Y$53,5,FALSE)</f>
        <v>0</v>
      </c>
      <c r="V75" s="86">
        <f>$D75*HLOOKUP($A75,'Barge (Build) - Dry'!$A$42:$Y$47,5,FALSE)*HLOOKUP($A75,'Barge (Build) - Dry'!$A$48:$Y$53,5,FALSE)*VLOOKUP(A75,NPV!$B$4:$D$44,2,0)</f>
        <v>0</v>
      </c>
      <c r="W75" s="86">
        <f t="shared" si="10"/>
        <v>229892.12946494596</v>
      </c>
      <c r="X75" s="86">
        <f t="shared" si="11"/>
        <v>148703.20341894933</v>
      </c>
      <c r="Z75" s="86">
        <f>$B$10*'Barge (Build) - Dry'!$F$22*'Inputs &amp; Parameters'!$B$45</f>
        <v>104.59218409565987</v>
      </c>
      <c r="AA75" s="86">
        <f>$B$10*'Barge (Build) - Dry'!$F$22*'Inputs &amp; Parameters'!$B$45*VLOOKUP(A75,NPV!$B$4:$D$44,2,0)</f>
        <v>53.43288157172865</v>
      </c>
      <c r="AB75" s="86">
        <f>$B$10*'Barge (Build) - Dry'!$E$22*'Inputs &amp; Parameters'!$B$44</f>
        <v>2013.2598436359044</v>
      </c>
      <c r="AC75" s="86">
        <f>$B$10*'Barge (Build) - Dry'!$E$22*'Inputs &amp; Parameters'!$B$44*VLOOKUP(A75,NPV!$B$4:$D$44,2,0)</f>
        <v>1028.5116017820885</v>
      </c>
      <c r="AD75" s="86">
        <f t="shared" si="12"/>
        <v>2117.8520277315642</v>
      </c>
      <c r="AE75" s="86">
        <f t="shared" si="13"/>
        <v>1081.9444833538171</v>
      </c>
      <c r="AF75" s="149"/>
      <c r="AG75" s="86">
        <f t="shared" si="4"/>
        <v>232009.98149267753</v>
      </c>
      <c r="AH75" s="86">
        <f t="shared" si="5"/>
        <v>1623584.2925358277</v>
      </c>
    </row>
    <row r="76" spans="1:34" x14ac:dyDescent="0.25">
      <c r="A76" s="5">
        <f t="shared" si="14"/>
        <v>2045</v>
      </c>
      <c r="B76" s="10">
        <f t="shared" si="6"/>
        <v>122.48676666666668</v>
      </c>
      <c r="C76" s="10">
        <f>B76*'Inputs &amp; Parameters'!$C$20/60</f>
        <v>2204.7618000000002</v>
      </c>
      <c r="D76" s="10">
        <f>B76*'Inputs &amp; Parameters'!$B$20</f>
        <v>16068.898916625703</v>
      </c>
      <c r="E76" s="91"/>
      <c r="F76" s="86">
        <f>(($B$9/$B$32)*'Inputs &amp; Parameters'!$B$7)+(('Barge - Liquid'!$B$68*$B$12)/'Barge - Liquid'!$B$67)</f>
        <v>2183471.1169636063</v>
      </c>
      <c r="G76" s="86">
        <f>(($B$9/$B$32)*'Inputs &amp; Parameters'!$B$7)+(('Barge - Liquid'!$B$68*4)/'Barge - Liquid'!$B$67)*VLOOKUP(A76,NPV!$B$4:$D$44,2,0)</f>
        <v>1174487.1806202661</v>
      </c>
      <c r="H76" s="86">
        <f t="shared" si="7"/>
        <v>487252.35780000006</v>
      </c>
      <c r="I76" s="86">
        <f>SUM(($B$4-1)*C76*$B$6,1*C76*$B$5)*VLOOKUP(A76,NPV!$B$4:$D$44,2,0)</f>
        <v>241437.45681719124</v>
      </c>
      <c r="J76" s="86">
        <f t="shared" si="8"/>
        <v>38500</v>
      </c>
      <c r="K76" s="86">
        <f>$B$11*0.5*VLOOKUP(A76,NPV!$B$4:$D$44,2,0)</f>
        <v>19077.059225390702</v>
      </c>
      <c r="L76" s="86"/>
      <c r="M76" s="86">
        <f t="shared" si="9"/>
        <v>1435001.6966628481</v>
      </c>
      <c r="N76" s="8"/>
      <c r="O76" s="86">
        <f>$D76*HLOOKUP($A76,'Barge (Build) - Dry'!$A$42:$Y$47,2,FALSE)*HLOOKUP($A76,'Barge (Build) - Dry'!$A$48:$Y$53,2,FALSE)</f>
        <v>233141.48818529857</v>
      </c>
      <c r="P76" s="86">
        <f>$D76*HLOOKUP($A76,'Barge (Build) - Dry'!$A$42:$Y$47,2,FALSE)*HLOOKUP($A76,'Barge (Build) - Dry'!$A$48:$Y$53,2,FALSE)*VLOOKUP(A76,NPV!$B$4:$D$44,3,0)</f>
        <v>147848.05439353726</v>
      </c>
      <c r="Q76" s="86">
        <f>$D76*HLOOKUP($A76,'Barge (Build) - Dry'!$A$42:$Y$47,3,FALSE)*HLOOKUP($A76,'Barge (Build) - Dry'!$A$48:$Y$53,3,FALSE)</f>
        <v>0</v>
      </c>
      <c r="R76" s="86">
        <f>$D76*HLOOKUP($A76,'Barge (Build) - Dry'!$A$42:$Y$47,3,FALSE)*HLOOKUP($A76,'Barge (Build) - Dry'!$A$48:$Y$53,3,FALSE)*VLOOKUP(A76,NPV!$B$4:$D$44,2,0)</f>
        <v>0</v>
      </c>
      <c r="S76" s="86">
        <f>$D76*HLOOKUP($A76,'Barge (Build) - Dry'!$A$42:$Y$47,4,FALSE)*HLOOKUP($A76,'Barge (Build) - Dry'!$A$48:$Y$53,4,FALSE)</f>
        <v>0</v>
      </c>
      <c r="T76" s="86">
        <f>$D76*HLOOKUP($A76,'Barge (Build) - Dry'!$A$42:$Y$47,4,FALSE)*HLOOKUP($A76,'Barge (Build) - Dry'!$A$48:$Y$53,4,FALSE)*VLOOKUP(A76,NPV!$B$4:$D$44,2,0)</f>
        <v>0</v>
      </c>
      <c r="U76" s="86">
        <f>$D76*HLOOKUP($A76,'Barge (Build) - Dry'!$A$42:$Y$47,5,FALSE)*HLOOKUP($A76,'Barge (Build) - Dry'!$A$48:$Y$53,5,FALSE)</f>
        <v>0</v>
      </c>
      <c r="V76" s="86">
        <f>$D76*HLOOKUP($A76,'Barge (Build) - Dry'!$A$42:$Y$47,5,FALSE)*HLOOKUP($A76,'Barge (Build) - Dry'!$A$48:$Y$53,5,FALSE)*VLOOKUP(A76,NPV!$B$4:$D$44,2,0)</f>
        <v>0</v>
      </c>
      <c r="W76" s="86">
        <f t="shared" si="10"/>
        <v>233141.48818529857</v>
      </c>
      <c r="X76" s="86">
        <f t="shared" si="11"/>
        <v>147848.05439353726</v>
      </c>
      <c r="Z76" s="86">
        <f>$B$10*'Barge (Build) - Dry'!$F$22*'Inputs &amp; Parameters'!$B$45</f>
        <v>104.59218409565987</v>
      </c>
      <c r="AA76" s="86">
        <f>$B$10*'Barge (Build) - Dry'!$F$22*'Inputs &amp; Parameters'!$B$45*VLOOKUP(A76,NPV!$B$4:$D$44,2,0)</f>
        <v>51.826267285866777</v>
      </c>
      <c r="AB76" s="86">
        <f>$B$10*'Barge (Build) - Dry'!$E$22*'Inputs &amp; Parameters'!$B$44</f>
        <v>2013.2598436359044</v>
      </c>
      <c r="AC76" s="86">
        <f>$B$10*'Barge (Build) - Dry'!$E$22*'Inputs &amp; Parameters'!$B$44*VLOOKUP(A76,NPV!$B$4:$D$44,2,0)</f>
        <v>997.58642267903826</v>
      </c>
      <c r="AD76" s="86">
        <f t="shared" si="12"/>
        <v>2117.8520277315642</v>
      </c>
      <c r="AE76" s="86">
        <f t="shared" si="13"/>
        <v>1049.412689964905</v>
      </c>
      <c r="AF76" s="149"/>
      <c r="AG76" s="86">
        <f t="shared" si="4"/>
        <v>235259.34021303014</v>
      </c>
      <c r="AH76" s="86">
        <f t="shared" si="5"/>
        <v>1583899.1637463504</v>
      </c>
    </row>
    <row r="77" spans="1:34" x14ac:dyDescent="0.25">
      <c r="A77" s="5">
        <f t="shared" si="14"/>
        <v>2046</v>
      </c>
      <c r="B77" s="10">
        <f t="shared" si="6"/>
        <v>122.48676666666668</v>
      </c>
      <c r="C77" s="10">
        <f>B77*'Inputs &amp; Parameters'!$C$20/60</f>
        <v>2204.7618000000002</v>
      </c>
      <c r="D77" s="10">
        <f>B77*'Inputs &amp; Parameters'!$B$20</f>
        <v>16068.898916625703</v>
      </c>
      <c r="E77" s="91"/>
      <c r="F77" s="86">
        <f>(($B$9/$B$32)*'Inputs &amp; Parameters'!$B$7)+(('Barge - Liquid'!$B$68*$B$12)/'Barge - Liquid'!$B$67)</f>
        <v>2183471.1169636063</v>
      </c>
      <c r="G77" s="86">
        <f>(($B$9/$B$32)*'Inputs &amp; Parameters'!$B$7)+(('Barge - Liquid'!$B$68*4)/'Barge - Liquid'!$B$67)*VLOOKUP(A77,NPV!$B$4:$D$44,2,0)</f>
        <v>1144689.4134298139</v>
      </c>
      <c r="H77" s="86">
        <f t="shared" si="7"/>
        <v>487252.35780000006</v>
      </c>
      <c r="I77" s="86">
        <f>SUM(($B$4-1)*C77*$B$6,1*C77*$B$5)*VLOOKUP(A77,NPV!$B$4:$D$44,2,0)</f>
        <v>234177.94065682957</v>
      </c>
      <c r="J77" s="86">
        <f t="shared" si="8"/>
        <v>38500</v>
      </c>
      <c r="K77" s="86">
        <f>$B$11*0.5*VLOOKUP(A77,NPV!$B$4:$D$44,2,0)</f>
        <v>18503.452206974496</v>
      </c>
      <c r="L77" s="86"/>
      <c r="M77" s="86">
        <f t="shared" si="9"/>
        <v>1397370.8062936179</v>
      </c>
      <c r="N77" s="8"/>
      <c r="O77" s="86">
        <f>$D77*HLOOKUP($A77,'Barge (Build) - Dry'!$A$42:$Y$47,2,FALSE)*HLOOKUP($A77,'Barge (Build) - Dry'!$A$48:$Y$53,2,FALSE)</f>
        <v>236390.84690565118</v>
      </c>
      <c r="P77" s="86">
        <f>$D77*HLOOKUP($A77,'Barge (Build) - Dry'!$A$42:$Y$47,2,FALSE)*HLOOKUP($A77,'Barge (Build) - Dry'!$A$48:$Y$53,2,FALSE)*VLOOKUP(A77,NPV!$B$4:$D$44,3,0)</f>
        <v>146969.26907330513</v>
      </c>
      <c r="Q77" s="86">
        <f>$D77*HLOOKUP($A77,'Barge (Build) - Dry'!$A$42:$Y$47,3,FALSE)*HLOOKUP($A77,'Barge (Build) - Dry'!$A$48:$Y$53,3,FALSE)</f>
        <v>0</v>
      </c>
      <c r="R77" s="86">
        <f>$D77*HLOOKUP($A77,'Barge (Build) - Dry'!$A$42:$Y$47,3,FALSE)*HLOOKUP($A77,'Barge (Build) - Dry'!$A$48:$Y$53,3,FALSE)*VLOOKUP(A77,NPV!$B$4:$D$44,2,0)</f>
        <v>0</v>
      </c>
      <c r="S77" s="86">
        <f>$D77*HLOOKUP($A77,'Barge (Build) - Dry'!$A$42:$Y$47,4,FALSE)*HLOOKUP($A77,'Barge (Build) - Dry'!$A$48:$Y$53,4,FALSE)</f>
        <v>0</v>
      </c>
      <c r="T77" s="86">
        <f>$D77*HLOOKUP($A77,'Barge (Build) - Dry'!$A$42:$Y$47,4,FALSE)*HLOOKUP($A77,'Barge (Build) - Dry'!$A$48:$Y$53,4,FALSE)*VLOOKUP(A77,NPV!$B$4:$D$44,2,0)</f>
        <v>0</v>
      </c>
      <c r="U77" s="86">
        <f>$D77*HLOOKUP($A77,'Barge (Build) - Dry'!$A$42:$Y$47,5,FALSE)*HLOOKUP($A77,'Barge (Build) - Dry'!$A$48:$Y$53,5,FALSE)</f>
        <v>0</v>
      </c>
      <c r="V77" s="86">
        <f>$D77*HLOOKUP($A77,'Barge (Build) - Dry'!$A$42:$Y$47,5,FALSE)*HLOOKUP($A77,'Barge (Build) - Dry'!$A$48:$Y$53,5,FALSE)*VLOOKUP(A77,NPV!$B$4:$D$44,2,0)</f>
        <v>0</v>
      </c>
      <c r="W77" s="86">
        <f t="shared" si="10"/>
        <v>236390.84690565118</v>
      </c>
      <c r="X77" s="86">
        <f t="shared" si="11"/>
        <v>146969.26907330513</v>
      </c>
      <c r="Z77" s="86">
        <f>$B$10*'Barge (Build) - Dry'!$F$22*'Inputs &amp; Parameters'!$B$45</f>
        <v>104.59218409565987</v>
      </c>
      <c r="AA77" s="86">
        <f>$B$10*'Barge (Build) - Dry'!$F$22*'Inputs &amp; Parameters'!$B$45*VLOOKUP(A77,NPV!$B$4:$D$44,2,0)</f>
        <v>50.267960510055076</v>
      </c>
      <c r="AB77" s="86">
        <f>$B$10*'Barge (Build) - Dry'!$E$22*'Inputs &amp; Parameters'!$B$44</f>
        <v>2013.2598436359044</v>
      </c>
      <c r="AC77" s="86">
        <f>$B$10*'Barge (Build) - Dry'!$E$22*'Inputs &amp; Parameters'!$B$44*VLOOKUP(A77,NPV!$B$4:$D$44,2,0)</f>
        <v>967.59109862176376</v>
      </c>
      <c r="AD77" s="86">
        <f t="shared" si="12"/>
        <v>2117.8520277315642</v>
      </c>
      <c r="AE77" s="86">
        <f t="shared" si="13"/>
        <v>1017.8590591318189</v>
      </c>
      <c r="AF77" s="149"/>
      <c r="AG77" s="86">
        <f t="shared" si="4"/>
        <v>238508.69893338275</v>
      </c>
      <c r="AH77" s="86">
        <f t="shared" si="5"/>
        <v>1545357.9344260548</v>
      </c>
    </row>
    <row r="78" spans="1:34" x14ac:dyDescent="0.25">
      <c r="A78" s="5">
        <f t="shared" si="14"/>
        <v>2047</v>
      </c>
      <c r="B78" s="10">
        <f t="shared" si="6"/>
        <v>122.48676666666668</v>
      </c>
      <c r="C78" s="10">
        <f>B78*'Inputs &amp; Parameters'!$C$20/60</f>
        <v>2204.7618000000002</v>
      </c>
      <c r="D78" s="10">
        <f>B78*'Inputs &amp; Parameters'!$B$20</f>
        <v>16068.898916625703</v>
      </c>
      <c r="E78" s="91"/>
      <c r="F78" s="86">
        <f>(($B$9/$B$32)*'Inputs &amp; Parameters'!$B$7)+(('Barge - Liquid'!$B$68*$B$12)/'Barge - Liquid'!$B$67)</f>
        <v>2183471.1169636063</v>
      </c>
      <c r="G78" s="86">
        <f>(($B$9/$B$32)*'Inputs &amp; Parameters'!$B$7)+(('Barge - Liquid'!$B$68*4)/'Barge - Liquid'!$B$67)*VLOOKUP(A78,NPV!$B$4:$D$44,2,0)</f>
        <v>1115787.6023818485</v>
      </c>
      <c r="H78" s="86">
        <f t="shared" si="7"/>
        <v>487252.35780000006</v>
      </c>
      <c r="I78" s="86">
        <f>SUM(($B$4-1)*C78*$B$6,1*C78*$B$5)*VLOOKUP(A78,NPV!$B$4:$D$44,2,0)</f>
        <v>227136.70286792392</v>
      </c>
      <c r="J78" s="86">
        <f t="shared" si="8"/>
        <v>38500</v>
      </c>
      <c r="K78" s="86">
        <f>$B$11*0.5*VLOOKUP(A78,NPV!$B$4:$D$44,2,0)</f>
        <v>17947.09234430116</v>
      </c>
      <c r="L78" s="86"/>
      <c r="M78" s="86">
        <f t="shared" si="9"/>
        <v>1360871.3975940736</v>
      </c>
      <c r="N78" s="8"/>
      <c r="O78" s="86">
        <f>$D78*HLOOKUP($A78,'Barge (Build) - Dry'!$A$42:$Y$47,2,FALSE)*HLOOKUP($A78,'Barge (Build) - Dry'!$A$48:$Y$53,2,FALSE)</f>
        <v>240452.5453060919</v>
      </c>
      <c r="P78" s="86">
        <f>$D78*HLOOKUP($A78,'Barge (Build) - Dry'!$A$42:$Y$47,2,FALSE)*HLOOKUP($A78,'Barge (Build) - Dry'!$A$48:$Y$53,2,FALSE)*VLOOKUP(A78,NPV!$B$4:$D$44,3,0)</f>
        <v>146563.24926116274</v>
      </c>
      <c r="Q78" s="86">
        <f>$D78*HLOOKUP($A78,'Barge (Build) - Dry'!$A$42:$Y$47,3,FALSE)*HLOOKUP($A78,'Barge (Build) - Dry'!$A$48:$Y$53,3,FALSE)</f>
        <v>0</v>
      </c>
      <c r="R78" s="86">
        <f>$D78*HLOOKUP($A78,'Barge (Build) - Dry'!$A$42:$Y$47,3,FALSE)*HLOOKUP($A78,'Barge (Build) - Dry'!$A$48:$Y$53,3,FALSE)*VLOOKUP(A78,NPV!$B$4:$D$44,2,0)</f>
        <v>0</v>
      </c>
      <c r="S78" s="86">
        <f>$D78*HLOOKUP($A78,'Barge (Build) - Dry'!$A$42:$Y$47,4,FALSE)*HLOOKUP($A78,'Barge (Build) - Dry'!$A$48:$Y$53,4,FALSE)</f>
        <v>0</v>
      </c>
      <c r="T78" s="86">
        <f>$D78*HLOOKUP($A78,'Barge (Build) - Dry'!$A$42:$Y$47,4,FALSE)*HLOOKUP($A78,'Barge (Build) - Dry'!$A$48:$Y$53,4,FALSE)*VLOOKUP(A78,NPV!$B$4:$D$44,2,0)</f>
        <v>0</v>
      </c>
      <c r="U78" s="86">
        <f>$D78*HLOOKUP($A78,'Barge (Build) - Dry'!$A$42:$Y$47,5,FALSE)*HLOOKUP($A78,'Barge (Build) - Dry'!$A$48:$Y$53,5,FALSE)</f>
        <v>0</v>
      </c>
      <c r="V78" s="86">
        <f>$D78*HLOOKUP($A78,'Barge (Build) - Dry'!$A$42:$Y$47,5,FALSE)*HLOOKUP($A78,'Barge (Build) - Dry'!$A$48:$Y$53,5,FALSE)*VLOOKUP(A78,NPV!$B$4:$D$44,2,0)</f>
        <v>0</v>
      </c>
      <c r="W78" s="86">
        <f t="shared" si="10"/>
        <v>240452.5453060919</v>
      </c>
      <c r="X78" s="86">
        <f t="shared" si="11"/>
        <v>146563.24926116274</v>
      </c>
      <c r="Z78" s="86">
        <f>$B$10*'Barge (Build) - Dry'!$F$22*'Inputs &amp; Parameters'!$B$45</f>
        <v>104.59218409565987</v>
      </c>
      <c r="AA78" s="86">
        <f>$B$10*'Barge (Build) - Dry'!$F$22*'Inputs &amp; Parameters'!$B$45*VLOOKUP(A78,NPV!$B$4:$D$44,2,0)</f>
        <v>48.756508739141687</v>
      </c>
      <c r="AB78" s="86">
        <f>$B$10*'Barge (Build) - Dry'!$E$22*'Inputs &amp; Parameters'!$B$44</f>
        <v>2013.2598436359044</v>
      </c>
      <c r="AC78" s="86">
        <f>$B$10*'Barge (Build) - Dry'!$E$22*'Inputs &amp; Parameters'!$B$44*VLOOKUP(A78,NPV!$B$4:$D$44,2,0)</f>
        <v>938.49767082615301</v>
      </c>
      <c r="AD78" s="86">
        <f t="shared" si="12"/>
        <v>2117.8520277315642</v>
      </c>
      <c r="AE78" s="86">
        <f t="shared" si="13"/>
        <v>987.25417956529475</v>
      </c>
      <c r="AF78" s="149"/>
      <c r="AG78" s="86">
        <f t="shared" si="4"/>
        <v>242570.39733382346</v>
      </c>
      <c r="AH78" s="86">
        <f t="shared" si="5"/>
        <v>1508421.9010348015</v>
      </c>
    </row>
    <row r="79" spans="1:34" x14ac:dyDescent="0.25">
      <c r="A79" s="88" t="s">
        <v>44</v>
      </c>
      <c r="B79" s="37">
        <f>SUBTOTAL(9,B59:B78)</f>
        <v>2449.735333333334</v>
      </c>
      <c r="C79" s="37">
        <f>SUBTOTAL(9,C59:C78)</f>
        <v>44095.236000000004</v>
      </c>
      <c r="D79" s="37">
        <f>SUBTOTAL(9,D59:D78)</f>
        <v>321377.97833251412</v>
      </c>
      <c r="E79" s="38"/>
      <c r="F79" s="39">
        <f t="shared" ref="F79:L79" si="15">SUBTOTAL(9,F59:F78)</f>
        <v>43669422.339272141</v>
      </c>
      <c r="G79" s="39">
        <f t="shared" si="15"/>
        <v>28977505.512725558</v>
      </c>
      <c r="H79" s="39">
        <f t="shared" si="15"/>
        <v>9745047.1560000014</v>
      </c>
      <c r="I79" s="39">
        <f t="shared" si="15"/>
        <v>6165711.5988318464</v>
      </c>
      <c r="J79" s="39">
        <f t="shared" si="15"/>
        <v>770000</v>
      </c>
      <c r="K79" s="39">
        <f t="shared" si="15"/>
        <v>487180.60108897858</v>
      </c>
      <c r="L79" s="39">
        <f t="shared" si="15"/>
        <v>0</v>
      </c>
      <c r="M79" s="39">
        <f>SUBTOTAL(9,M59:M78)</f>
        <v>35630397.712646373</v>
      </c>
      <c r="N79" s="40"/>
      <c r="O79" s="39">
        <f t="shared" ref="O79:W79" si="16">SUBTOTAL(9,O59:O78)</f>
        <v>4194109.7682951093</v>
      </c>
      <c r="P79" s="39">
        <f t="shared" si="16"/>
        <v>3075687.9795446014</v>
      </c>
      <c r="Q79" s="39">
        <f t="shared" si="16"/>
        <v>0</v>
      </c>
      <c r="R79" s="39">
        <f t="shared" si="16"/>
        <v>0</v>
      </c>
      <c r="S79" s="39">
        <f t="shared" si="16"/>
        <v>0</v>
      </c>
      <c r="T79" s="39">
        <f t="shared" si="16"/>
        <v>0</v>
      </c>
      <c r="U79" s="39">
        <f t="shared" si="16"/>
        <v>0</v>
      </c>
      <c r="V79" s="39">
        <f t="shared" si="16"/>
        <v>0</v>
      </c>
      <c r="W79" s="39">
        <f t="shared" si="16"/>
        <v>4194109.7682951093</v>
      </c>
      <c r="X79" s="39">
        <f>SUBTOTAL(9,X59:X78)</f>
        <v>3075687.9795446014</v>
      </c>
      <c r="Y79" s="1"/>
      <c r="Z79" s="39">
        <f t="shared" ref="Z79:AD79" si="17">SUBTOTAL(9,Z59:Z78)</f>
        <v>2091.8436819131971</v>
      </c>
      <c r="AA79" s="39">
        <f t="shared" si="17"/>
        <v>1323.5138471930563</v>
      </c>
      <c r="AB79" s="39">
        <f t="shared" si="17"/>
        <v>40265.196872718087</v>
      </c>
      <c r="AC79" s="39">
        <f t="shared" si="17"/>
        <v>25475.873786255659</v>
      </c>
      <c r="AD79" s="39">
        <f t="shared" si="17"/>
        <v>42357.040554631283</v>
      </c>
      <c r="AE79" s="39">
        <f>SUBTOTAL(9,AE59:AE78)</f>
        <v>26799.387633448721</v>
      </c>
      <c r="AF79" s="150"/>
      <c r="AG79" s="39">
        <f>SUBTOTAL(9,AG59:AG78)</f>
        <v>4236466.8088497408</v>
      </c>
      <c r="AH79" s="39">
        <f>SUBTOTAL(9,AH59:AH78)</f>
        <v>38732885.079824425</v>
      </c>
    </row>
    <row r="82" spans="24:24" x14ac:dyDescent="0.25">
      <c r="X82" s="61"/>
    </row>
    <row r="83" spans="24:24" x14ac:dyDescent="0.25">
      <c r="X83" s="8"/>
    </row>
  </sheetData>
  <mergeCells count="6">
    <mergeCell ref="A28:B28"/>
    <mergeCell ref="A24:F24"/>
    <mergeCell ref="A14:B14"/>
    <mergeCell ref="C14:D14"/>
    <mergeCell ref="E14:F14"/>
    <mergeCell ref="A23:F23"/>
  </mergeCells>
  <hyperlinks>
    <hyperlink ref="A23" r:id="rId1" xr:uid="{375D5BD2-A478-4219-9333-60CAC4DDF6E3}"/>
    <hyperlink ref="B26" r:id="rId2" display="https://www.tredis.com/pdf/User_Docs/TREDIS6_Data_Sources_and_Default_Values.pdf" xr:uid="{8B07DD34-463C-4C68-9DB7-ED0BB64FD9DC}"/>
    <hyperlink ref="C29" r:id="rId3" display="https://www.tredis.com/pdf/User_Docs/TREDIS6_Data_Sources_and_Default_Values.pdf" xr:uid="{019FA511-2791-41E5-9E03-F9BDF5254B1A}"/>
    <hyperlink ref="C31" r:id="rId4" display="https://nationalwaterwaysfoundation.org/file/28/TTI 2022 FINAL Report 2001-2019 1.pdf" xr:uid="{C2E4AC9E-C4F9-4F92-87BB-249D6AA5D45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F9B41-226A-4EA2-BB4C-286F069AB58B}">
  <dimension ref="A2:Y59"/>
  <sheetViews>
    <sheetView topLeftCell="A33" workbookViewId="0"/>
  </sheetViews>
  <sheetFormatPr defaultRowHeight="15" x14ac:dyDescent="0.25"/>
  <cols>
    <col min="1" max="1" width="46" customWidth="1"/>
    <col min="2" max="2" width="18.85546875" bestFit="1" customWidth="1"/>
    <col min="3" max="3" width="11.7109375" customWidth="1"/>
    <col min="4" max="4" width="14.7109375" customWidth="1"/>
    <col min="5" max="5" width="17" customWidth="1"/>
    <col min="6" max="6" width="19" customWidth="1"/>
    <col min="7" max="7" width="22" customWidth="1"/>
    <col min="8" max="8" width="20.28515625" bestFit="1" customWidth="1"/>
    <col min="9" max="10" width="13.85546875" bestFit="1" customWidth="1"/>
    <col min="11" max="11" width="12.5703125" customWidth="1"/>
    <col min="12" max="12" width="10.5703125" bestFit="1" customWidth="1"/>
    <col min="13" max="14" width="8.85546875" bestFit="1" customWidth="1"/>
    <col min="15" max="15" width="14.85546875" customWidth="1"/>
    <col min="16" max="16" width="10.5703125" bestFit="1" customWidth="1"/>
    <col min="17" max="20" width="8.85546875" bestFit="1" customWidth="1"/>
    <col min="21" max="21" width="14" customWidth="1"/>
    <col min="22" max="22" width="11.140625" customWidth="1"/>
  </cols>
  <sheetData>
    <row r="2" spans="1:3" x14ac:dyDescent="0.25">
      <c r="A2" s="5" t="s">
        <v>187</v>
      </c>
      <c r="B2" s="18">
        <v>2028</v>
      </c>
    </row>
    <row r="3" spans="1:3" x14ac:dyDescent="0.25">
      <c r="A3" s="5" t="s">
        <v>193</v>
      </c>
      <c r="B3" s="18">
        <v>2027</v>
      </c>
    </row>
    <row r="4" spans="1:3" x14ac:dyDescent="0.25">
      <c r="A4" s="5" t="s">
        <v>146</v>
      </c>
      <c r="B4" s="18">
        <v>6</v>
      </c>
      <c r="C4" t="s">
        <v>229</v>
      </c>
    </row>
    <row r="5" spans="1:3" x14ac:dyDescent="0.25">
      <c r="A5" s="118" t="s">
        <v>183</v>
      </c>
      <c r="B5" s="119">
        <f>'Rail Diversion (No Build) - Dry'!$B$9</f>
        <v>53.5</v>
      </c>
      <c r="C5" t="s">
        <v>293</v>
      </c>
    </row>
    <row r="6" spans="1:3" x14ac:dyDescent="0.25">
      <c r="A6" s="118" t="s">
        <v>283</v>
      </c>
      <c r="B6" s="119">
        <f>'Truck Diversion (No Build)- Dry'!$B$9</f>
        <v>33.5</v>
      </c>
      <c r="C6" t="s">
        <v>294</v>
      </c>
    </row>
    <row r="7" spans="1:3" x14ac:dyDescent="0.25">
      <c r="A7" s="5" t="s">
        <v>147</v>
      </c>
      <c r="B7" s="25">
        <v>1650</v>
      </c>
      <c r="C7" t="s">
        <v>229</v>
      </c>
    </row>
    <row r="8" spans="1:3" x14ac:dyDescent="0.25">
      <c r="A8" s="5" t="s">
        <v>148</v>
      </c>
      <c r="B8" s="25">
        <f>ROUNDUP('Inputs &amp; Parameters'!B23/'Barge (Build) - Liquid'!B7/12,0)</f>
        <v>22</v>
      </c>
      <c r="C8" t="s">
        <v>229</v>
      </c>
    </row>
    <row r="9" spans="1:3" x14ac:dyDescent="0.25">
      <c r="A9" s="5" t="s">
        <v>227</v>
      </c>
      <c r="B9" s="25">
        <f>B8*12*'Inputs &amp; Parameters'!B20</f>
        <v>34633.858248000004</v>
      </c>
    </row>
    <row r="10" spans="1:3" x14ac:dyDescent="0.25">
      <c r="A10" s="5" t="s">
        <v>149</v>
      </c>
      <c r="B10" s="25">
        <f>B7*'Inputs &amp; Parameters'!$B$20*$B$8*12</f>
        <v>57145866.109200001</v>
      </c>
    </row>
    <row r="11" spans="1:3" x14ac:dyDescent="0.25">
      <c r="A11" s="5" t="s">
        <v>192</v>
      </c>
      <c r="B11" s="17">
        <f>77000*0.5</f>
        <v>38500</v>
      </c>
    </row>
    <row r="14" spans="1:3" x14ac:dyDescent="0.25">
      <c r="A14" s="5" t="s">
        <v>286</v>
      </c>
      <c r="B14" s="17">
        <v>1000</v>
      </c>
    </row>
    <row r="15" spans="1:3" x14ac:dyDescent="0.25">
      <c r="A15" s="118" t="s">
        <v>288</v>
      </c>
      <c r="B15" s="129">
        <v>0.2</v>
      </c>
    </row>
    <row r="18" spans="1:6" ht="48" customHeight="1" x14ac:dyDescent="0.25">
      <c r="A18" s="168" t="s">
        <v>77</v>
      </c>
      <c r="B18" s="168"/>
      <c r="C18" s="169" t="s">
        <v>78</v>
      </c>
      <c r="D18" s="169"/>
      <c r="E18" s="168" t="s">
        <v>79</v>
      </c>
      <c r="F18" s="168"/>
    </row>
    <row r="19" spans="1:6" ht="45" x14ac:dyDescent="0.25">
      <c r="A19" s="14" t="s">
        <v>80</v>
      </c>
      <c r="B19" s="15" t="s">
        <v>81</v>
      </c>
      <c r="C19" s="14" t="s">
        <v>68</v>
      </c>
      <c r="D19" s="14" t="s">
        <v>70</v>
      </c>
      <c r="E19" s="14" t="s">
        <v>68</v>
      </c>
      <c r="F19" s="14" t="s">
        <v>70</v>
      </c>
    </row>
    <row r="20" spans="1:6" x14ac:dyDescent="0.25">
      <c r="A20" s="12">
        <v>2002</v>
      </c>
      <c r="B20" s="25">
        <v>293626000000</v>
      </c>
      <c r="C20" s="25">
        <v>8</v>
      </c>
      <c r="D20" s="25">
        <v>17</v>
      </c>
      <c r="E20" s="5"/>
      <c r="F20" s="5"/>
    </row>
    <row r="21" spans="1:6" x14ac:dyDescent="0.25">
      <c r="A21" s="12">
        <v>2003</v>
      </c>
      <c r="B21" s="25">
        <v>278360000000</v>
      </c>
      <c r="C21" s="25">
        <v>2</v>
      </c>
      <c r="D21" s="25">
        <v>14</v>
      </c>
      <c r="E21" s="5"/>
      <c r="F21" s="5"/>
    </row>
    <row r="22" spans="1:6" x14ac:dyDescent="0.25">
      <c r="A22" s="12">
        <v>2004</v>
      </c>
      <c r="B22" s="25">
        <v>284162000000</v>
      </c>
      <c r="C22" s="25">
        <v>2</v>
      </c>
      <c r="D22" s="25">
        <v>34</v>
      </c>
      <c r="E22" s="5"/>
      <c r="F22" s="5"/>
    </row>
    <row r="23" spans="1:6" x14ac:dyDescent="0.25">
      <c r="A23" s="12">
        <v>2005</v>
      </c>
      <c r="B23" s="25">
        <v>274366000000</v>
      </c>
      <c r="C23" s="25">
        <v>11</v>
      </c>
      <c r="D23" s="25">
        <v>21</v>
      </c>
      <c r="E23" s="5"/>
      <c r="F23" s="5"/>
    </row>
    <row r="24" spans="1:6" x14ac:dyDescent="0.25">
      <c r="A24" s="12">
        <v>2006</v>
      </c>
      <c r="B24" s="25">
        <v>279858000000</v>
      </c>
      <c r="C24" s="25">
        <v>8</v>
      </c>
      <c r="D24" s="25">
        <v>22</v>
      </c>
      <c r="E24" s="5"/>
      <c r="F24" s="5"/>
    </row>
    <row r="25" spans="1:6" x14ac:dyDescent="0.25">
      <c r="A25" s="12">
        <v>2007</v>
      </c>
      <c r="B25" s="25"/>
      <c r="C25" s="25" t="s">
        <v>82</v>
      </c>
      <c r="D25" s="25"/>
      <c r="E25" s="5"/>
      <c r="F25" s="5"/>
    </row>
    <row r="26" spans="1:6" x14ac:dyDescent="0.25">
      <c r="A26" s="5" t="s">
        <v>83</v>
      </c>
      <c r="B26" s="5"/>
      <c r="C26" s="10">
        <v>11</v>
      </c>
      <c r="D26" s="10">
        <v>34</v>
      </c>
      <c r="E26" s="56">
        <f>C26/B23</f>
        <v>4.0092431277928022E-11</v>
      </c>
      <c r="F26" s="55">
        <f>D26/B22</f>
        <v>1.1965005876929357E-10</v>
      </c>
    </row>
    <row r="27" spans="1:6" x14ac:dyDescent="0.25">
      <c r="A27" s="196" t="s">
        <v>84</v>
      </c>
      <c r="B27" s="196"/>
      <c r="C27" s="196"/>
      <c r="D27" s="196"/>
      <c r="E27" s="196"/>
      <c r="F27" s="196"/>
    </row>
    <row r="28" spans="1:6" x14ac:dyDescent="0.25">
      <c r="A28" s="193" t="s">
        <v>85</v>
      </c>
      <c r="B28" s="193"/>
      <c r="C28" s="193"/>
      <c r="D28" s="193"/>
      <c r="E28" s="193"/>
      <c r="F28" s="193"/>
    </row>
    <row r="29" spans="1:6" x14ac:dyDescent="0.25">
      <c r="A29" s="1"/>
      <c r="B29" s="1"/>
      <c r="C29" s="1"/>
      <c r="D29" s="1"/>
      <c r="E29" s="1"/>
      <c r="F29" s="1"/>
    </row>
    <row r="30" spans="1:6" ht="20.25" thickBot="1" x14ac:dyDescent="0.35">
      <c r="A30" s="19" t="s">
        <v>103</v>
      </c>
      <c r="B30" s="27" t="s">
        <v>86</v>
      </c>
      <c r="F30" t="s">
        <v>87</v>
      </c>
    </row>
    <row r="31" spans="1:6" ht="15.75" thickTop="1" x14ac:dyDescent="0.25"/>
    <row r="32" spans="1:6" x14ac:dyDescent="0.25">
      <c r="A32" s="168" t="s">
        <v>88</v>
      </c>
      <c r="B32" s="168"/>
      <c r="C32" s="13" t="s">
        <v>30</v>
      </c>
    </row>
    <row r="33" spans="1:25" x14ac:dyDescent="0.25">
      <c r="A33" s="5" t="s">
        <v>89</v>
      </c>
      <c r="B33" s="18">
        <v>22.4</v>
      </c>
      <c r="C33" s="43" t="s">
        <v>86</v>
      </c>
    </row>
    <row r="34" spans="1:25" x14ac:dyDescent="0.25">
      <c r="A34" s="5" t="s">
        <v>90</v>
      </c>
      <c r="B34" s="24">
        <v>453.59237000000002</v>
      </c>
      <c r="C34" s="5"/>
    </row>
    <row r="35" spans="1:25" x14ac:dyDescent="0.25">
      <c r="A35" s="5" t="s">
        <v>104</v>
      </c>
      <c r="B35" s="24">
        <v>675</v>
      </c>
      <c r="C35" s="27" t="s">
        <v>91</v>
      </c>
    </row>
    <row r="36" spans="1:25" ht="30" x14ac:dyDescent="0.25">
      <c r="A36" s="87" t="s">
        <v>105</v>
      </c>
      <c r="B36" s="48">
        <f>B35/'Barge (Build) - Liquid'!$B$7</f>
        <v>0.40909090909090912</v>
      </c>
      <c r="C36" s="43"/>
    </row>
    <row r="37" spans="1:25" x14ac:dyDescent="0.25">
      <c r="A37" s="5" t="s">
        <v>102</v>
      </c>
      <c r="B37" s="49">
        <f>1/B36</f>
        <v>2.4444444444444442</v>
      </c>
      <c r="C37" s="5"/>
    </row>
    <row r="38" spans="1:25" x14ac:dyDescent="0.25">
      <c r="A38" s="5" t="s">
        <v>92</v>
      </c>
      <c r="B38" s="92">
        <f>B33*B34*B37</f>
        <v>24836.702215111109</v>
      </c>
      <c r="C38" s="5"/>
    </row>
    <row r="39" spans="1:25" ht="15.75" thickBot="1" x14ac:dyDescent="0.3"/>
    <row r="40" spans="1:25" ht="30" x14ac:dyDescent="0.25">
      <c r="A40" s="45" t="s">
        <v>93</v>
      </c>
      <c r="B40" s="23">
        <v>2024</v>
      </c>
      <c r="C40" s="23">
        <f t="shared" ref="C40:Y40" si="0">B40+1</f>
        <v>2025</v>
      </c>
      <c r="D40" s="23">
        <f t="shared" si="0"/>
        <v>2026</v>
      </c>
      <c r="E40" s="23">
        <f t="shared" si="0"/>
        <v>2027</v>
      </c>
      <c r="F40" s="23">
        <f t="shared" si="0"/>
        <v>2028</v>
      </c>
      <c r="G40" s="23">
        <f t="shared" si="0"/>
        <v>2029</v>
      </c>
      <c r="H40" s="23">
        <f t="shared" si="0"/>
        <v>2030</v>
      </c>
      <c r="I40" s="23">
        <f t="shared" si="0"/>
        <v>2031</v>
      </c>
      <c r="J40" s="23">
        <f t="shared" si="0"/>
        <v>2032</v>
      </c>
      <c r="K40" s="23">
        <f t="shared" si="0"/>
        <v>2033</v>
      </c>
      <c r="L40" s="23">
        <f t="shared" si="0"/>
        <v>2034</v>
      </c>
      <c r="M40" s="23">
        <f t="shared" si="0"/>
        <v>2035</v>
      </c>
      <c r="N40" s="23">
        <f t="shared" si="0"/>
        <v>2036</v>
      </c>
      <c r="O40" s="23">
        <f t="shared" si="0"/>
        <v>2037</v>
      </c>
      <c r="P40" s="23">
        <f t="shared" si="0"/>
        <v>2038</v>
      </c>
      <c r="Q40" s="23">
        <f t="shared" si="0"/>
        <v>2039</v>
      </c>
      <c r="R40" s="23">
        <f t="shared" si="0"/>
        <v>2040</v>
      </c>
      <c r="S40" s="23">
        <f t="shared" si="0"/>
        <v>2041</v>
      </c>
      <c r="T40" s="23">
        <f t="shared" si="0"/>
        <v>2042</v>
      </c>
      <c r="U40" s="23">
        <f t="shared" si="0"/>
        <v>2043</v>
      </c>
      <c r="V40" s="23">
        <f t="shared" si="0"/>
        <v>2044</v>
      </c>
      <c r="W40" s="23">
        <f t="shared" si="0"/>
        <v>2045</v>
      </c>
      <c r="X40" s="23">
        <f t="shared" si="0"/>
        <v>2046</v>
      </c>
      <c r="Y40" s="23">
        <f t="shared" si="0"/>
        <v>2047</v>
      </c>
    </row>
    <row r="41" spans="1:25" x14ac:dyDescent="0.25">
      <c r="A41" s="21" t="s">
        <v>94</v>
      </c>
      <c r="B41" s="50">
        <f>$B$38</f>
        <v>24836.702215111109</v>
      </c>
      <c r="C41" s="50">
        <f t="shared" ref="C41:Y41" si="1">B41</f>
        <v>24836.702215111109</v>
      </c>
      <c r="D41" s="50">
        <f t="shared" si="1"/>
        <v>24836.702215111109</v>
      </c>
      <c r="E41" s="50">
        <f t="shared" si="1"/>
        <v>24836.702215111109</v>
      </c>
      <c r="F41" s="50">
        <f t="shared" si="1"/>
        <v>24836.702215111109</v>
      </c>
      <c r="G41" s="50">
        <f t="shared" si="1"/>
        <v>24836.702215111109</v>
      </c>
      <c r="H41" s="50">
        <f t="shared" si="1"/>
        <v>24836.702215111109</v>
      </c>
      <c r="I41" s="50">
        <f t="shared" si="1"/>
        <v>24836.702215111109</v>
      </c>
      <c r="J41" s="50">
        <f t="shared" si="1"/>
        <v>24836.702215111109</v>
      </c>
      <c r="K41" s="50">
        <f t="shared" si="1"/>
        <v>24836.702215111109</v>
      </c>
      <c r="L41" s="50">
        <f t="shared" si="1"/>
        <v>24836.702215111109</v>
      </c>
      <c r="M41" s="50">
        <f t="shared" si="1"/>
        <v>24836.702215111109</v>
      </c>
      <c r="N41" s="50">
        <f t="shared" si="1"/>
        <v>24836.702215111109</v>
      </c>
      <c r="O41" s="50">
        <f t="shared" si="1"/>
        <v>24836.702215111109</v>
      </c>
      <c r="P41" s="50">
        <f t="shared" si="1"/>
        <v>24836.702215111109</v>
      </c>
      <c r="Q41" s="50">
        <f t="shared" si="1"/>
        <v>24836.702215111109</v>
      </c>
      <c r="R41" s="50">
        <f t="shared" si="1"/>
        <v>24836.702215111109</v>
      </c>
      <c r="S41" s="50">
        <f t="shared" si="1"/>
        <v>24836.702215111109</v>
      </c>
      <c r="T41" s="50">
        <f t="shared" si="1"/>
        <v>24836.702215111109</v>
      </c>
      <c r="U41" s="50">
        <f t="shared" si="1"/>
        <v>24836.702215111109</v>
      </c>
      <c r="V41" s="50">
        <f t="shared" si="1"/>
        <v>24836.702215111109</v>
      </c>
      <c r="W41" s="50">
        <f t="shared" si="1"/>
        <v>24836.702215111109</v>
      </c>
      <c r="X41" s="50">
        <f t="shared" si="1"/>
        <v>24836.702215111109</v>
      </c>
      <c r="Y41" s="50">
        <f t="shared" si="1"/>
        <v>24836.702215111109</v>
      </c>
    </row>
    <row r="42" spans="1:25" x14ac:dyDescent="0.25">
      <c r="A42" s="21" t="s">
        <v>95</v>
      </c>
      <c r="B42" s="50">
        <v>0</v>
      </c>
      <c r="C42" s="50">
        <v>0</v>
      </c>
      <c r="D42" s="50">
        <v>0</v>
      </c>
      <c r="E42" s="50">
        <v>0</v>
      </c>
      <c r="F42" s="50">
        <v>0</v>
      </c>
      <c r="G42" s="50">
        <v>0</v>
      </c>
      <c r="H42" s="50">
        <v>0</v>
      </c>
      <c r="I42" s="50">
        <v>0</v>
      </c>
      <c r="J42" s="50">
        <v>0</v>
      </c>
      <c r="K42" s="50">
        <v>0</v>
      </c>
      <c r="L42" s="50">
        <v>0</v>
      </c>
      <c r="M42" s="50">
        <v>0</v>
      </c>
      <c r="N42" s="50">
        <v>0</v>
      </c>
      <c r="O42" s="50">
        <v>0</v>
      </c>
      <c r="P42" s="50">
        <v>0</v>
      </c>
      <c r="Q42" s="50">
        <v>0</v>
      </c>
      <c r="R42" s="50">
        <v>0</v>
      </c>
      <c r="S42" s="50">
        <v>0</v>
      </c>
      <c r="T42" s="50">
        <v>0</v>
      </c>
      <c r="U42" s="50">
        <v>0</v>
      </c>
      <c r="V42" s="50">
        <v>0</v>
      </c>
      <c r="W42" s="50">
        <v>0</v>
      </c>
      <c r="X42" s="50">
        <v>0</v>
      </c>
      <c r="Y42" s="50">
        <v>0</v>
      </c>
    </row>
    <row r="43" spans="1:25" x14ac:dyDescent="0.25">
      <c r="A43" s="21" t="s">
        <v>96</v>
      </c>
      <c r="B43" s="50">
        <v>0</v>
      </c>
      <c r="C43" s="50">
        <v>0</v>
      </c>
      <c r="D43" s="50">
        <v>0</v>
      </c>
      <c r="E43" s="50">
        <v>0</v>
      </c>
      <c r="F43" s="50">
        <v>0</v>
      </c>
      <c r="G43" s="50">
        <v>0</v>
      </c>
      <c r="H43" s="50">
        <v>0</v>
      </c>
      <c r="I43" s="50">
        <v>0</v>
      </c>
      <c r="J43" s="50">
        <v>0</v>
      </c>
      <c r="K43" s="50">
        <v>0</v>
      </c>
      <c r="L43" s="50">
        <v>0</v>
      </c>
      <c r="M43" s="50">
        <v>0</v>
      </c>
      <c r="N43" s="50">
        <v>0</v>
      </c>
      <c r="O43" s="50">
        <v>0</v>
      </c>
      <c r="P43" s="50">
        <v>0</v>
      </c>
      <c r="Q43" s="50">
        <v>0</v>
      </c>
      <c r="R43" s="50">
        <v>0</v>
      </c>
      <c r="S43" s="50">
        <v>0</v>
      </c>
      <c r="T43" s="50">
        <v>0</v>
      </c>
      <c r="U43" s="50">
        <v>0</v>
      </c>
      <c r="V43" s="50">
        <v>0</v>
      </c>
      <c r="W43" s="50">
        <v>0</v>
      </c>
      <c r="X43" s="50">
        <v>0</v>
      </c>
      <c r="Y43" s="50">
        <v>0</v>
      </c>
    </row>
    <row r="44" spans="1:25" x14ac:dyDescent="0.25">
      <c r="A44" s="21" t="s">
        <v>97</v>
      </c>
      <c r="B44" s="50">
        <v>0</v>
      </c>
      <c r="C44" s="50">
        <v>0</v>
      </c>
      <c r="D44" s="50">
        <v>0</v>
      </c>
      <c r="E44" s="50">
        <v>0</v>
      </c>
      <c r="F44" s="50">
        <v>0</v>
      </c>
      <c r="G44" s="50">
        <v>0</v>
      </c>
      <c r="H44" s="50">
        <v>0</v>
      </c>
      <c r="I44" s="50">
        <v>0</v>
      </c>
      <c r="J44" s="50">
        <v>0</v>
      </c>
      <c r="K44" s="50">
        <v>0</v>
      </c>
      <c r="L44" s="50">
        <v>0</v>
      </c>
      <c r="M44" s="50">
        <v>0</v>
      </c>
      <c r="N44" s="50">
        <v>0</v>
      </c>
      <c r="O44" s="50">
        <v>0</v>
      </c>
      <c r="P44" s="50">
        <v>0</v>
      </c>
      <c r="Q44" s="50">
        <v>0</v>
      </c>
      <c r="R44" s="50">
        <v>0</v>
      </c>
      <c r="S44" s="50">
        <v>0</v>
      </c>
      <c r="T44" s="50">
        <v>0</v>
      </c>
      <c r="U44" s="50">
        <v>0</v>
      </c>
      <c r="V44" s="50">
        <v>0</v>
      </c>
      <c r="W44" s="50">
        <v>0</v>
      </c>
      <c r="X44" s="50">
        <v>0</v>
      </c>
      <c r="Y44" s="50">
        <v>0</v>
      </c>
    </row>
    <row r="45" spans="1:25" x14ac:dyDescent="0.25">
      <c r="A45" s="21" t="s">
        <v>98</v>
      </c>
      <c r="B45" s="50">
        <v>0</v>
      </c>
      <c r="C45" s="50">
        <v>0</v>
      </c>
      <c r="D45" s="50">
        <v>0</v>
      </c>
      <c r="E45" s="50">
        <v>0</v>
      </c>
      <c r="F45" s="50">
        <v>0</v>
      </c>
      <c r="G45" s="50">
        <v>0</v>
      </c>
      <c r="H45" s="50">
        <v>0</v>
      </c>
      <c r="I45" s="50">
        <v>0</v>
      </c>
      <c r="J45" s="50">
        <v>0</v>
      </c>
      <c r="K45" s="50">
        <v>0</v>
      </c>
      <c r="L45" s="50">
        <v>0</v>
      </c>
      <c r="M45" s="50">
        <v>0</v>
      </c>
      <c r="N45" s="50">
        <v>0</v>
      </c>
      <c r="O45" s="50">
        <v>0</v>
      </c>
      <c r="P45" s="50">
        <v>0</v>
      </c>
      <c r="Q45" s="50">
        <v>0</v>
      </c>
      <c r="R45" s="50">
        <v>0</v>
      </c>
      <c r="S45" s="50">
        <v>0</v>
      </c>
      <c r="T45" s="50">
        <v>0</v>
      </c>
      <c r="U45" s="50">
        <v>0</v>
      </c>
      <c r="V45" s="50">
        <v>0</v>
      </c>
      <c r="W45" s="50">
        <v>0</v>
      </c>
      <c r="X45" s="50">
        <v>0</v>
      </c>
      <c r="Y45" s="50">
        <v>0</v>
      </c>
    </row>
    <row r="46" spans="1:25" ht="30" x14ac:dyDescent="0.25">
      <c r="A46" s="46" t="s">
        <v>99</v>
      </c>
      <c r="B46" s="23">
        <v>2024</v>
      </c>
      <c r="C46" s="23">
        <f t="shared" ref="C46:Y46" si="2">B46+1</f>
        <v>2025</v>
      </c>
      <c r="D46" s="23">
        <f t="shared" si="2"/>
        <v>2026</v>
      </c>
      <c r="E46" s="23">
        <f t="shared" si="2"/>
        <v>2027</v>
      </c>
      <c r="F46" s="23">
        <f t="shared" si="2"/>
        <v>2028</v>
      </c>
      <c r="G46" s="23">
        <f t="shared" si="2"/>
        <v>2029</v>
      </c>
      <c r="H46" s="23">
        <f t="shared" si="2"/>
        <v>2030</v>
      </c>
      <c r="I46" s="23">
        <f t="shared" si="2"/>
        <v>2031</v>
      </c>
      <c r="J46" s="23">
        <f t="shared" si="2"/>
        <v>2032</v>
      </c>
      <c r="K46" s="23">
        <f t="shared" si="2"/>
        <v>2033</v>
      </c>
      <c r="L46" s="23">
        <f t="shared" si="2"/>
        <v>2034</v>
      </c>
      <c r="M46" s="23">
        <f t="shared" si="2"/>
        <v>2035</v>
      </c>
      <c r="N46" s="23">
        <f t="shared" si="2"/>
        <v>2036</v>
      </c>
      <c r="O46" s="23">
        <f t="shared" si="2"/>
        <v>2037</v>
      </c>
      <c r="P46" s="23">
        <f t="shared" si="2"/>
        <v>2038</v>
      </c>
      <c r="Q46" s="23">
        <f t="shared" si="2"/>
        <v>2039</v>
      </c>
      <c r="R46" s="23">
        <f t="shared" si="2"/>
        <v>2040</v>
      </c>
      <c r="S46" s="23">
        <f t="shared" si="2"/>
        <v>2041</v>
      </c>
      <c r="T46" s="23">
        <f t="shared" si="2"/>
        <v>2042</v>
      </c>
      <c r="U46" s="23">
        <f t="shared" si="2"/>
        <v>2043</v>
      </c>
      <c r="V46" s="23">
        <f t="shared" si="2"/>
        <v>2044</v>
      </c>
      <c r="W46" s="23">
        <f t="shared" si="2"/>
        <v>2045</v>
      </c>
      <c r="X46" s="23">
        <f t="shared" si="2"/>
        <v>2046</v>
      </c>
      <c r="Y46" s="23">
        <f t="shared" si="2"/>
        <v>2047</v>
      </c>
    </row>
    <row r="47" spans="1:25" x14ac:dyDescent="0.25">
      <c r="A47" s="21" t="s">
        <v>94</v>
      </c>
      <c r="B47" s="41">
        <f>B41/'Inputs &amp; Parameters'!$B$9</f>
        <v>2.4836702215111108E-2</v>
      </c>
      <c r="C47" s="41">
        <f>C41/'Inputs &amp; Parameters'!$B$9</f>
        <v>2.4836702215111108E-2</v>
      </c>
      <c r="D47" s="41">
        <f>D41/'Inputs &amp; Parameters'!$B$9</f>
        <v>2.4836702215111108E-2</v>
      </c>
      <c r="E47" s="41">
        <f>E41/'Inputs &amp; Parameters'!$B$9</f>
        <v>2.4836702215111108E-2</v>
      </c>
      <c r="F47" s="41">
        <f>F41/'Inputs &amp; Parameters'!$B$9</f>
        <v>2.4836702215111108E-2</v>
      </c>
      <c r="G47" s="41">
        <f>G41/'Inputs &amp; Parameters'!$B$9</f>
        <v>2.4836702215111108E-2</v>
      </c>
      <c r="H47" s="41">
        <f>H41/'Inputs &amp; Parameters'!$B$9</f>
        <v>2.4836702215111108E-2</v>
      </c>
      <c r="I47" s="41">
        <f>I41/'Inputs &amp; Parameters'!$B$9</f>
        <v>2.4836702215111108E-2</v>
      </c>
      <c r="J47" s="41">
        <f>J41/'Inputs &amp; Parameters'!$B$9</f>
        <v>2.4836702215111108E-2</v>
      </c>
      <c r="K47" s="41">
        <f>K41/'Inputs &amp; Parameters'!$B$9</f>
        <v>2.4836702215111108E-2</v>
      </c>
      <c r="L47" s="41">
        <f>L41/'Inputs &amp; Parameters'!$B$9</f>
        <v>2.4836702215111108E-2</v>
      </c>
      <c r="M47" s="41">
        <f>M41/'Inputs &amp; Parameters'!$B$9</f>
        <v>2.4836702215111108E-2</v>
      </c>
      <c r="N47" s="41">
        <f>N41/'Inputs &amp; Parameters'!$B$9</f>
        <v>2.4836702215111108E-2</v>
      </c>
      <c r="O47" s="41">
        <f>O41/'Inputs &amp; Parameters'!$B$9</f>
        <v>2.4836702215111108E-2</v>
      </c>
      <c r="P47" s="41">
        <f>P41/'Inputs &amp; Parameters'!$B$9</f>
        <v>2.4836702215111108E-2</v>
      </c>
      <c r="Q47" s="41">
        <f>Q41/'Inputs &amp; Parameters'!$B$9</f>
        <v>2.4836702215111108E-2</v>
      </c>
      <c r="R47" s="41">
        <f>R41/'Inputs &amp; Parameters'!$B$9</f>
        <v>2.4836702215111108E-2</v>
      </c>
      <c r="S47" s="41">
        <f>S41/'Inputs &amp; Parameters'!$B$9</f>
        <v>2.4836702215111108E-2</v>
      </c>
      <c r="T47" s="41">
        <f>T41/'Inputs &amp; Parameters'!$B$9</f>
        <v>2.4836702215111108E-2</v>
      </c>
      <c r="U47" s="41">
        <f>U41/'Inputs &amp; Parameters'!$B$9</f>
        <v>2.4836702215111108E-2</v>
      </c>
      <c r="V47" s="41">
        <f>V41/'Inputs &amp; Parameters'!$B$9</f>
        <v>2.4836702215111108E-2</v>
      </c>
      <c r="W47" s="41">
        <f>W41/'Inputs &amp; Parameters'!$B$9</f>
        <v>2.4836702215111108E-2</v>
      </c>
      <c r="X47" s="41">
        <f>X41/'Inputs &amp; Parameters'!$B$9</f>
        <v>2.4836702215111108E-2</v>
      </c>
      <c r="Y47" s="41">
        <f>Y41/'Inputs &amp; Parameters'!$B$9</f>
        <v>2.4836702215111108E-2</v>
      </c>
    </row>
    <row r="48" spans="1:25" x14ac:dyDescent="0.25">
      <c r="A48" s="21" t="s">
        <v>95</v>
      </c>
      <c r="B48" s="41">
        <f>B42/'Inputs &amp; Parameters'!$B$9</f>
        <v>0</v>
      </c>
      <c r="C48" s="41">
        <f>C42/'Inputs &amp; Parameters'!$B$9</f>
        <v>0</v>
      </c>
      <c r="D48" s="41">
        <f>D42/'Inputs &amp; Parameters'!$B$9</f>
        <v>0</v>
      </c>
      <c r="E48" s="41">
        <f>E42/'Inputs &amp; Parameters'!$B$9</f>
        <v>0</v>
      </c>
      <c r="F48" s="41">
        <f>F42/'Inputs &amp; Parameters'!$B$9</f>
        <v>0</v>
      </c>
      <c r="G48" s="41">
        <f>G42/'Inputs &amp; Parameters'!$B$9</f>
        <v>0</v>
      </c>
      <c r="H48" s="41">
        <f>H42/'Inputs &amp; Parameters'!$B$9</f>
        <v>0</v>
      </c>
      <c r="I48" s="41">
        <f>I42/'Inputs &amp; Parameters'!$B$9</f>
        <v>0</v>
      </c>
      <c r="J48" s="41">
        <f>J42/'Inputs &amp; Parameters'!$B$9</f>
        <v>0</v>
      </c>
      <c r="K48" s="41">
        <f>K42/'Inputs &amp; Parameters'!$B$9</f>
        <v>0</v>
      </c>
      <c r="L48" s="41">
        <f>L42/'Inputs &amp; Parameters'!$B$9</f>
        <v>0</v>
      </c>
      <c r="M48" s="41">
        <f>M42/'Inputs &amp; Parameters'!$B$9</f>
        <v>0</v>
      </c>
      <c r="N48" s="41">
        <f>N42/'Inputs &amp; Parameters'!$B$9</f>
        <v>0</v>
      </c>
      <c r="O48" s="41">
        <f>O42/'Inputs &amp; Parameters'!$B$9</f>
        <v>0</v>
      </c>
      <c r="P48" s="41">
        <f>P42/'Inputs &amp; Parameters'!$B$9</f>
        <v>0</v>
      </c>
      <c r="Q48" s="41">
        <f>Q42/'Inputs &amp; Parameters'!$B$9</f>
        <v>0</v>
      </c>
      <c r="R48" s="41">
        <f>R42/'Inputs &amp; Parameters'!$B$9</f>
        <v>0</v>
      </c>
      <c r="S48" s="41">
        <f>S42/'Inputs &amp; Parameters'!$B$9</f>
        <v>0</v>
      </c>
      <c r="T48" s="41">
        <f>T42/'Inputs &amp; Parameters'!$B$9</f>
        <v>0</v>
      </c>
      <c r="U48" s="41">
        <f>U42/'Inputs &amp; Parameters'!$B$9</f>
        <v>0</v>
      </c>
      <c r="V48" s="41">
        <f>V42/'Inputs &amp; Parameters'!$B$9</f>
        <v>0</v>
      </c>
      <c r="W48" s="41">
        <f>W42/'Inputs &amp; Parameters'!$B$9</f>
        <v>0</v>
      </c>
      <c r="X48" s="41">
        <f>X42/'Inputs &amp; Parameters'!$B$9</f>
        <v>0</v>
      </c>
      <c r="Y48" s="41">
        <f>Y42/'Inputs &amp; Parameters'!$B$9</f>
        <v>0</v>
      </c>
    </row>
    <row r="49" spans="1:25" x14ac:dyDescent="0.25">
      <c r="A49" s="21" t="s">
        <v>96</v>
      </c>
      <c r="B49" s="41">
        <f>B43/'Inputs &amp; Parameters'!$B$9</f>
        <v>0</v>
      </c>
      <c r="C49" s="41">
        <f>C43/'Inputs &amp; Parameters'!$B$9</f>
        <v>0</v>
      </c>
      <c r="D49" s="41">
        <f>D43/'Inputs &amp; Parameters'!$B$9</f>
        <v>0</v>
      </c>
      <c r="E49" s="41">
        <f>E43/'Inputs &amp; Parameters'!$B$9</f>
        <v>0</v>
      </c>
      <c r="F49" s="41">
        <f>F43/'Inputs &amp; Parameters'!$B$9</f>
        <v>0</v>
      </c>
      <c r="G49" s="41">
        <f>G43/'Inputs &amp; Parameters'!$B$9</f>
        <v>0</v>
      </c>
      <c r="H49" s="41">
        <f>H43/'Inputs &amp; Parameters'!$B$9</f>
        <v>0</v>
      </c>
      <c r="I49" s="41">
        <f>I43/'Inputs &amp; Parameters'!$B$9</f>
        <v>0</v>
      </c>
      <c r="J49" s="41">
        <f>J43/'Inputs &amp; Parameters'!$B$9</f>
        <v>0</v>
      </c>
      <c r="K49" s="41">
        <f>K43/'Inputs &amp; Parameters'!$B$9</f>
        <v>0</v>
      </c>
      <c r="L49" s="41">
        <f>L43/'Inputs &amp; Parameters'!$B$9</f>
        <v>0</v>
      </c>
      <c r="M49" s="41">
        <f>M43/'Inputs &amp; Parameters'!$B$9</f>
        <v>0</v>
      </c>
      <c r="N49" s="41">
        <f>N43/'Inputs &amp; Parameters'!$B$9</f>
        <v>0</v>
      </c>
      <c r="O49" s="41">
        <f>O43/'Inputs &amp; Parameters'!$B$9</f>
        <v>0</v>
      </c>
      <c r="P49" s="41">
        <f>P43/'Inputs &amp; Parameters'!$B$9</f>
        <v>0</v>
      </c>
      <c r="Q49" s="41">
        <f>Q43/'Inputs &amp; Parameters'!$B$9</f>
        <v>0</v>
      </c>
      <c r="R49" s="41">
        <f>R43/'Inputs &amp; Parameters'!$B$9</f>
        <v>0</v>
      </c>
      <c r="S49" s="41">
        <f>S43/'Inputs &amp; Parameters'!$B$9</f>
        <v>0</v>
      </c>
      <c r="T49" s="41">
        <f>T43/'Inputs &amp; Parameters'!$B$9</f>
        <v>0</v>
      </c>
      <c r="U49" s="41">
        <f>U43/'Inputs &amp; Parameters'!$B$9</f>
        <v>0</v>
      </c>
      <c r="V49" s="41">
        <f>V43/'Inputs &amp; Parameters'!$B$9</f>
        <v>0</v>
      </c>
      <c r="W49" s="41">
        <f>W43/'Inputs &amp; Parameters'!$B$9</f>
        <v>0</v>
      </c>
      <c r="X49" s="41">
        <f>X43/'Inputs &amp; Parameters'!$B$9</f>
        <v>0</v>
      </c>
      <c r="Y49" s="41">
        <f>Y43/'Inputs &amp; Parameters'!$B$9</f>
        <v>0</v>
      </c>
    </row>
    <row r="50" spans="1:25" x14ac:dyDescent="0.25">
      <c r="A50" s="21" t="s">
        <v>97</v>
      </c>
      <c r="B50" s="41">
        <f>B44/'Inputs &amp; Parameters'!$B$9</f>
        <v>0</v>
      </c>
      <c r="C50" s="41">
        <f>C44/'Inputs &amp; Parameters'!$B$9</f>
        <v>0</v>
      </c>
      <c r="D50" s="41">
        <f>D44/'Inputs &amp; Parameters'!$B$9</f>
        <v>0</v>
      </c>
      <c r="E50" s="41">
        <f>E44/'Inputs &amp; Parameters'!$B$9</f>
        <v>0</v>
      </c>
      <c r="F50" s="41">
        <f>F44/'Inputs &amp; Parameters'!$B$9</f>
        <v>0</v>
      </c>
      <c r="G50" s="41">
        <f>G44/'Inputs &amp; Parameters'!$B$9</f>
        <v>0</v>
      </c>
      <c r="H50" s="41">
        <f>H44/'Inputs &amp; Parameters'!$B$9</f>
        <v>0</v>
      </c>
      <c r="I50" s="41">
        <f>I44/'Inputs &amp; Parameters'!$B$9</f>
        <v>0</v>
      </c>
      <c r="J50" s="41">
        <f>J44/'Inputs &amp; Parameters'!$B$9</f>
        <v>0</v>
      </c>
      <c r="K50" s="41">
        <f>K44/'Inputs &amp; Parameters'!$B$9</f>
        <v>0</v>
      </c>
      <c r="L50" s="41">
        <f>L44/'Inputs &amp; Parameters'!$B$9</f>
        <v>0</v>
      </c>
      <c r="M50" s="41">
        <f>M44/'Inputs &amp; Parameters'!$B$9</f>
        <v>0</v>
      </c>
      <c r="N50" s="41">
        <f>N44/'Inputs &amp; Parameters'!$B$9</f>
        <v>0</v>
      </c>
      <c r="O50" s="41">
        <f>O44/'Inputs &amp; Parameters'!$B$9</f>
        <v>0</v>
      </c>
      <c r="P50" s="41">
        <f>P44/'Inputs &amp; Parameters'!$B$9</f>
        <v>0</v>
      </c>
      <c r="Q50" s="41">
        <f>Q44/'Inputs &amp; Parameters'!$B$9</f>
        <v>0</v>
      </c>
      <c r="R50" s="41">
        <f>R44/'Inputs &amp; Parameters'!$B$9</f>
        <v>0</v>
      </c>
      <c r="S50" s="41">
        <f>S44/'Inputs &amp; Parameters'!$B$9</f>
        <v>0</v>
      </c>
      <c r="T50" s="41">
        <f>T44/'Inputs &amp; Parameters'!$B$9</f>
        <v>0</v>
      </c>
      <c r="U50" s="41">
        <f>U44/'Inputs &amp; Parameters'!$B$9</f>
        <v>0</v>
      </c>
      <c r="V50" s="41">
        <f>V44/'Inputs &amp; Parameters'!$B$9</f>
        <v>0</v>
      </c>
      <c r="W50" s="41">
        <f>W44/'Inputs &amp; Parameters'!$B$9</f>
        <v>0</v>
      </c>
      <c r="X50" s="41">
        <f>X44/'Inputs &amp; Parameters'!$B$9</f>
        <v>0</v>
      </c>
      <c r="Y50" s="41">
        <f>Y44/'Inputs &amp; Parameters'!$B$9</f>
        <v>0</v>
      </c>
    </row>
    <row r="51" spans="1:25" x14ac:dyDescent="0.25">
      <c r="A51" s="21" t="s">
        <v>98</v>
      </c>
      <c r="B51" s="41">
        <f>B45/'Inputs &amp; Parameters'!$B$9</f>
        <v>0</v>
      </c>
      <c r="C51" s="41">
        <f>C45/'Inputs &amp; Parameters'!$B$9</f>
        <v>0</v>
      </c>
      <c r="D51" s="41">
        <f>D45/'Inputs &amp; Parameters'!$B$9</f>
        <v>0</v>
      </c>
      <c r="E51" s="41">
        <f>E45/'Inputs &amp; Parameters'!$B$9</f>
        <v>0</v>
      </c>
      <c r="F51" s="41">
        <f>F45/'Inputs &amp; Parameters'!$B$9</f>
        <v>0</v>
      </c>
      <c r="G51" s="41">
        <f>G45/'Inputs &amp; Parameters'!$B$9</f>
        <v>0</v>
      </c>
      <c r="H51" s="41">
        <f>H45/'Inputs &amp; Parameters'!$B$9</f>
        <v>0</v>
      </c>
      <c r="I51" s="41">
        <f>I45/'Inputs &amp; Parameters'!$B$9</f>
        <v>0</v>
      </c>
      <c r="J51" s="41">
        <f>J45/'Inputs &amp; Parameters'!$B$9</f>
        <v>0</v>
      </c>
      <c r="K51" s="41">
        <f>K45/'Inputs &amp; Parameters'!$B$9</f>
        <v>0</v>
      </c>
      <c r="L51" s="41">
        <f>L45/'Inputs &amp; Parameters'!$B$9</f>
        <v>0</v>
      </c>
      <c r="M51" s="41">
        <f>M45/'Inputs &amp; Parameters'!$B$9</f>
        <v>0</v>
      </c>
      <c r="N51" s="41">
        <f>N45/'Inputs &amp; Parameters'!$B$9</f>
        <v>0</v>
      </c>
      <c r="O51" s="41">
        <f>O45/'Inputs &amp; Parameters'!$B$9</f>
        <v>0</v>
      </c>
      <c r="P51" s="41">
        <f>P45/'Inputs &amp; Parameters'!$B$9</f>
        <v>0</v>
      </c>
      <c r="Q51" s="41">
        <f>Q45/'Inputs &amp; Parameters'!$B$9</f>
        <v>0</v>
      </c>
      <c r="R51" s="41">
        <f>R45/'Inputs &amp; Parameters'!$B$9</f>
        <v>0</v>
      </c>
      <c r="S51" s="41">
        <f>S45/'Inputs &amp; Parameters'!$B$9</f>
        <v>0</v>
      </c>
      <c r="T51" s="41">
        <f>T45/'Inputs &amp; Parameters'!$B$9</f>
        <v>0</v>
      </c>
      <c r="U51" s="41">
        <f>U45/'Inputs &amp; Parameters'!$B$9</f>
        <v>0</v>
      </c>
      <c r="V51" s="41">
        <f>V45/'Inputs &amp; Parameters'!$B$9</f>
        <v>0</v>
      </c>
      <c r="W51" s="41">
        <f>W45/'Inputs &amp; Parameters'!$B$9</f>
        <v>0</v>
      </c>
      <c r="X51" s="41">
        <f>X45/'Inputs &amp; Parameters'!$B$9</f>
        <v>0</v>
      </c>
      <c r="Y51" s="41">
        <f>Y45/'Inputs &amp; Parameters'!$B$9</f>
        <v>0</v>
      </c>
    </row>
    <row r="52" spans="1:25" x14ac:dyDescent="0.25">
      <c r="A52" s="46" t="s">
        <v>100</v>
      </c>
      <c r="B52" s="23">
        <v>2024</v>
      </c>
      <c r="C52" s="23">
        <f t="shared" ref="C52:Y52" si="3">B52+1</f>
        <v>2025</v>
      </c>
      <c r="D52" s="23">
        <f t="shared" si="3"/>
        <v>2026</v>
      </c>
      <c r="E52" s="23">
        <f t="shared" si="3"/>
        <v>2027</v>
      </c>
      <c r="F52" s="23">
        <f t="shared" si="3"/>
        <v>2028</v>
      </c>
      <c r="G52" s="23">
        <f t="shared" si="3"/>
        <v>2029</v>
      </c>
      <c r="H52" s="23">
        <f t="shared" si="3"/>
        <v>2030</v>
      </c>
      <c r="I52" s="23">
        <f t="shared" si="3"/>
        <v>2031</v>
      </c>
      <c r="J52" s="23">
        <f t="shared" si="3"/>
        <v>2032</v>
      </c>
      <c r="K52" s="23">
        <f t="shared" si="3"/>
        <v>2033</v>
      </c>
      <c r="L52" s="23">
        <f t="shared" si="3"/>
        <v>2034</v>
      </c>
      <c r="M52" s="23">
        <f t="shared" si="3"/>
        <v>2035</v>
      </c>
      <c r="N52" s="23">
        <f t="shared" si="3"/>
        <v>2036</v>
      </c>
      <c r="O52" s="23">
        <f t="shared" si="3"/>
        <v>2037</v>
      </c>
      <c r="P52" s="23">
        <f t="shared" si="3"/>
        <v>2038</v>
      </c>
      <c r="Q52" s="23">
        <f t="shared" si="3"/>
        <v>2039</v>
      </c>
      <c r="R52" s="23">
        <f t="shared" si="3"/>
        <v>2040</v>
      </c>
      <c r="S52" s="23">
        <f t="shared" si="3"/>
        <v>2041</v>
      </c>
      <c r="T52" s="23">
        <f t="shared" si="3"/>
        <v>2042</v>
      </c>
      <c r="U52" s="23">
        <f t="shared" si="3"/>
        <v>2043</v>
      </c>
      <c r="V52" s="23">
        <f t="shared" si="3"/>
        <v>2044</v>
      </c>
      <c r="W52" s="23">
        <f t="shared" si="3"/>
        <v>2045</v>
      </c>
      <c r="X52" s="23">
        <f t="shared" si="3"/>
        <v>2046</v>
      </c>
      <c r="Y52" s="23">
        <f t="shared" si="3"/>
        <v>2047</v>
      </c>
    </row>
    <row r="53" spans="1:25" x14ac:dyDescent="0.25">
      <c r="A53" s="21" t="s">
        <v>94</v>
      </c>
      <c r="B53" s="6">
        <v>232.85396798284322</v>
      </c>
      <c r="C53" s="6">
        <v>237.33192890559022</v>
      </c>
      <c r="D53" s="6">
        <v>240.69039959765044</v>
      </c>
      <c r="E53" s="6">
        <v>245.16836052039741</v>
      </c>
      <c r="F53" s="6">
        <v>249.64632144314442</v>
      </c>
      <c r="G53" s="6">
        <v>253.00479213520464</v>
      </c>
      <c r="H53" s="6">
        <v>257.48275305795164</v>
      </c>
      <c r="I53" s="6">
        <v>261.96071398069864</v>
      </c>
      <c r="J53" s="6">
        <v>265.31918467275887</v>
      </c>
      <c r="K53" s="6">
        <v>269.79714559550587</v>
      </c>
      <c r="L53" s="6">
        <v>274.27510651825281</v>
      </c>
      <c r="M53" s="6">
        <v>277.63357721031309</v>
      </c>
      <c r="N53" s="6">
        <v>282.11153813306004</v>
      </c>
      <c r="O53" s="6">
        <v>286.58949905580704</v>
      </c>
      <c r="P53" s="6">
        <v>289.94796974786726</v>
      </c>
      <c r="Q53" s="6">
        <v>294.42593067061426</v>
      </c>
      <c r="R53" s="6">
        <v>298.90389159336127</v>
      </c>
      <c r="S53" s="6">
        <v>303.38185251610821</v>
      </c>
      <c r="T53" s="6">
        <v>307.85981343885521</v>
      </c>
      <c r="U53" s="6">
        <v>312.33777436160221</v>
      </c>
      <c r="V53" s="6">
        <v>316.81573528434916</v>
      </c>
      <c r="W53" s="6">
        <v>321.29369620709616</v>
      </c>
      <c r="X53" s="6">
        <v>325.77165712984316</v>
      </c>
      <c r="Y53" s="6">
        <v>331.36910828327689</v>
      </c>
    </row>
    <row r="54" spans="1:25" x14ac:dyDescent="0.25">
      <c r="A54" s="21" t="s">
        <v>95</v>
      </c>
      <c r="B54" s="6">
        <v>20100</v>
      </c>
      <c r="C54" s="6">
        <v>20300</v>
      </c>
      <c r="D54" s="6">
        <v>20600</v>
      </c>
      <c r="E54" s="6">
        <v>21000</v>
      </c>
      <c r="F54" s="6">
        <v>21300</v>
      </c>
      <c r="G54" s="6">
        <v>21700</v>
      </c>
      <c r="H54" s="6">
        <v>22000</v>
      </c>
      <c r="I54" s="6">
        <v>22000</v>
      </c>
      <c r="J54" s="6">
        <v>22000</v>
      </c>
      <c r="K54" s="6">
        <v>22000</v>
      </c>
      <c r="L54" s="6">
        <v>22000</v>
      </c>
      <c r="M54" s="6">
        <v>22000</v>
      </c>
      <c r="N54" s="6">
        <v>22000</v>
      </c>
      <c r="O54" s="6">
        <v>22000</v>
      </c>
      <c r="P54" s="6">
        <v>22000</v>
      </c>
      <c r="Q54" s="6">
        <v>22000</v>
      </c>
      <c r="R54" s="6">
        <v>22000</v>
      </c>
      <c r="S54" s="6">
        <v>22000</v>
      </c>
      <c r="T54" s="6">
        <v>22000</v>
      </c>
      <c r="U54" s="6">
        <v>22000</v>
      </c>
      <c r="V54" s="6">
        <v>22000</v>
      </c>
      <c r="W54" s="6">
        <v>22000</v>
      </c>
      <c r="X54" s="6">
        <v>22000</v>
      </c>
      <c r="Y54" s="6">
        <v>22000</v>
      </c>
    </row>
    <row r="55" spans="1:25" x14ac:dyDescent="0.25">
      <c r="A55" s="21" t="s">
        <v>96</v>
      </c>
      <c r="B55" s="6">
        <v>963200</v>
      </c>
      <c r="C55" s="6">
        <v>975500</v>
      </c>
      <c r="D55" s="6">
        <v>993500</v>
      </c>
      <c r="E55" s="6">
        <v>1011900</v>
      </c>
      <c r="F55" s="6">
        <v>1030600</v>
      </c>
      <c r="G55" s="6">
        <v>1049600</v>
      </c>
      <c r="H55" s="6">
        <v>1069000</v>
      </c>
      <c r="I55" s="6">
        <v>1069000</v>
      </c>
      <c r="J55" s="6">
        <v>1069000</v>
      </c>
      <c r="K55" s="6">
        <v>1069000</v>
      </c>
      <c r="L55" s="6">
        <v>1069000</v>
      </c>
      <c r="M55" s="6">
        <v>1069000</v>
      </c>
      <c r="N55" s="6">
        <v>1069000</v>
      </c>
      <c r="O55" s="6">
        <v>1069000</v>
      </c>
      <c r="P55" s="6">
        <v>1069000</v>
      </c>
      <c r="Q55" s="6">
        <v>1069000</v>
      </c>
      <c r="R55" s="6">
        <v>1069000</v>
      </c>
      <c r="S55" s="6">
        <v>1069000</v>
      </c>
      <c r="T55" s="6">
        <v>1069000</v>
      </c>
      <c r="U55" s="6">
        <v>1069000</v>
      </c>
      <c r="V55" s="6">
        <v>1069000</v>
      </c>
      <c r="W55" s="6">
        <v>1069000</v>
      </c>
      <c r="X55" s="6">
        <v>1069000</v>
      </c>
      <c r="Y55" s="6">
        <v>1069000</v>
      </c>
    </row>
    <row r="56" spans="1:25" x14ac:dyDescent="0.25">
      <c r="A56" s="21" t="s">
        <v>97</v>
      </c>
      <c r="B56" s="6">
        <v>53800</v>
      </c>
      <c r="C56" s="6">
        <v>54800</v>
      </c>
      <c r="D56" s="6">
        <v>56100</v>
      </c>
      <c r="E56" s="6">
        <v>57400</v>
      </c>
      <c r="F56" s="6">
        <v>58700</v>
      </c>
      <c r="G56" s="6">
        <v>60100</v>
      </c>
      <c r="H56" s="6">
        <v>61500</v>
      </c>
      <c r="I56" s="6">
        <v>61500</v>
      </c>
      <c r="J56" s="6">
        <v>61500</v>
      </c>
      <c r="K56" s="6">
        <v>61500</v>
      </c>
      <c r="L56" s="6">
        <v>61500</v>
      </c>
      <c r="M56" s="6">
        <v>61500</v>
      </c>
      <c r="N56" s="6">
        <v>61500</v>
      </c>
      <c r="O56" s="6">
        <v>61500</v>
      </c>
      <c r="P56" s="6">
        <v>61500</v>
      </c>
      <c r="Q56" s="6">
        <v>61500</v>
      </c>
      <c r="R56" s="6">
        <v>61500</v>
      </c>
      <c r="S56" s="6">
        <v>61500</v>
      </c>
      <c r="T56" s="6">
        <v>61500</v>
      </c>
      <c r="U56" s="6">
        <v>61500</v>
      </c>
      <c r="V56" s="6">
        <v>61500</v>
      </c>
      <c r="W56" s="6">
        <v>61500</v>
      </c>
      <c r="X56" s="6">
        <v>61500</v>
      </c>
      <c r="Y56" s="6">
        <v>61500</v>
      </c>
    </row>
    <row r="57" spans="1:25" ht="15.75" thickBot="1" x14ac:dyDescent="0.3">
      <c r="A57" s="22" t="s">
        <v>98</v>
      </c>
      <c r="B57" s="6">
        <v>2500</v>
      </c>
      <c r="C57" s="6">
        <v>2500</v>
      </c>
      <c r="D57" s="6">
        <v>2500</v>
      </c>
      <c r="E57" s="6">
        <v>2500</v>
      </c>
      <c r="F57" s="6">
        <v>2500</v>
      </c>
      <c r="G57" s="6">
        <v>2500</v>
      </c>
      <c r="H57" s="6">
        <v>2500</v>
      </c>
      <c r="I57" s="6">
        <v>2500</v>
      </c>
      <c r="J57" s="6">
        <v>2500</v>
      </c>
      <c r="K57" s="6">
        <v>2500</v>
      </c>
      <c r="L57" s="6">
        <v>2500</v>
      </c>
      <c r="M57" s="6">
        <v>2500</v>
      </c>
      <c r="N57" s="6">
        <v>2500</v>
      </c>
      <c r="O57" s="6">
        <v>2500</v>
      </c>
      <c r="P57" s="6">
        <v>2500</v>
      </c>
      <c r="Q57" s="6">
        <v>2500</v>
      </c>
      <c r="R57" s="6">
        <v>2500</v>
      </c>
      <c r="S57" s="6">
        <v>2500</v>
      </c>
      <c r="T57" s="6">
        <v>2500</v>
      </c>
      <c r="U57" s="6">
        <v>2500</v>
      </c>
      <c r="V57" s="6">
        <v>2500</v>
      </c>
      <c r="W57" s="6">
        <v>2500</v>
      </c>
      <c r="X57" s="6">
        <v>2500</v>
      </c>
      <c r="Y57" s="6">
        <v>2500</v>
      </c>
    </row>
    <row r="58" spans="1:25" x14ac:dyDescent="0.25">
      <c r="A58" s="4" t="s">
        <v>101</v>
      </c>
    </row>
    <row r="59" spans="1:25" x14ac:dyDescent="0.25">
      <c r="B59" s="76"/>
    </row>
  </sheetData>
  <mergeCells count="6">
    <mergeCell ref="A32:B32"/>
    <mergeCell ref="A18:B18"/>
    <mergeCell ref="C18:D18"/>
    <mergeCell ref="E18:F18"/>
    <mergeCell ref="A27:F27"/>
    <mergeCell ref="A28:F28"/>
  </mergeCells>
  <hyperlinks>
    <hyperlink ref="A27" r:id="rId1" xr:uid="{E572B5BE-8087-4500-BC5B-3468A9809EBF}"/>
    <hyperlink ref="B30" r:id="rId2" display="https://www.tredis.com/pdf/User_Docs/TREDIS6_Data_Sources_and_Default_Values.pdf" xr:uid="{B9B53194-89F6-4F8B-81A5-7524D0ABA017}"/>
    <hyperlink ref="C33" r:id="rId3" display="https://www.tredis.com/pdf/User_Docs/TREDIS6_Data_Sources_and_Default_Values.pdf" xr:uid="{3099149E-BBB1-4BA8-B996-450FF39B82A2}"/>
    <hyperlink ref="C35" r:id="rId4" display="https://nationalwaterwaysfoundation.org/file/28/TTI 2022 FINAL Report 2001-2019 1.pdf" xr:uid="{4DBCA15F-21AF-4A21-A724-735F39ABD18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EAA69-8675-40F6-B0FB-8DB2A7388D99}">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7C35D-4119-41E0-900F-03E083EE9432}">
  <dimension ref="B2:I19"/>
  <sheetViews>
    <sheetView workbookViewId="0"/>
  </sheetViews>
  <sheetFormatPr defaultRowHeight="15" x14ac:dyDescent="0.25"/>
  <cols>
    <col min="2" max="2" width="4" customWidth="1"/>
    <col min="4" max="4" width="4.5703125" customWidth="1"/>
    <col min="5" max="5" width="5.85546875" customWidth="1"/>
    <col min="6" max="6" width="38.42578125" customWidth="1"/>
    <col min="8" max="8" width="27.42578125" customWidth="1"/>
  </cols>
  <sheetData>
    <row r="2" spans="2:9" x14ac:dyDescent="0.25">
      <c r="B2" s="68" t="s">
        <v>152</v>
      </c>
    </row>
    <row r="3" spans="2:9" x14ac:dyDescent="0.25">
      <c r="B3" t="s">
        <v>153</v>
      </c>
      <c r="G3" t="s">
        <v>154</v>
      </c>
      <c r="H3" t="s">
        <v>155</v>
      </c>
    </row>
    <row r="4" spans="2:9" x14ac:dyDescent="0.25">
      <c r="B4" t="s">
        <v>156</v>
      </c>
      <c r="G4" t="s">
        <v>154</v>
      </c>
      <c r="H4" t="s">
        <v>155</v>
      </c>
    </row>
    <row r="5" spans="2:9" x14ac:dyDescent="0.25">
      <c r="B5" t="s">
        <v>171</v>
      </c>
      <c r="G5" t="s">
        <v>154</v>
      </c>
      <c r="H5" t="s">
        <v>155</v>
      </c>
    </row>
    <row r="6" spans="2:9" x14ac:dyDescent="0.25">
      <c r="B6" t="s">
        <v>157</v>
      </c>
      <c r="G6" t="s">
        <v>158</v>
      </c>
      <c r="H6" t="s">
        <v>159</v>
      </c>
      <c r="I6" t="s">
        <v>160</v>
      </c>
    </row>
    <row r="7" spans="2:9" x14ac:dyDescent="0.25">
      <c r="C7" t="s">
        <v>161</v>
      </c>
    </row>
    <row r="8" spans="2:9" x14ac:dyDescent="0.25">
      <c r="C8" t="s">
        <v>162</v>
      </c>
    </row>
    <row r="9" spans="2:9" x14ac:dyDescent="0.25">
      <c r="C9" t="s">
        <v>163</v>
      </c>
    </row>
    <row r="11" spans="2:9" x14ac:dyDescent="0.25">
      <c r="C11" s="68" t="s">
        <v>169</v>
      </c>
    </row>
    <row r="12" spans="2:9" x14ac:dyDescent="0.25">
      <c r="D12" t="s">
        <v>164</v>
      </c>
    </row>
    <row r="13" spans="2:9" x14ac:dyDescent="0.25">
      <c r="D13" t="s">
        <v>165</v>
      </c>
    </row>
    <row r="14" spans="2:9" x14ac:dyDescent="0.25">
      <c r="D14" t="s">
        <v>166</v>
      </c>
    </row>
    <row r="15" spans="2:9" x14ac:dyDescent="0.25">
      <c r="E15" t="s">
        <v>167</v>
      </c>
    </row>
    <row r="16" spans="2:9" x14ac:dyDescent="0.25">
      <c r="F16" t="s">
        <v>168</v>
      </c>
    </row>
    <row r="17" spans="4:6" x14ac:dyDescent="0.25">
      <c r="F17" t="s">
        <v>170</v>
      </c>
    </row>
    <row r="19" spans="4:6" x14ac:dyDescent="0.25">
      <c r="D19"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A16BF-47D0-4097-9B60-ED3B1190C5BE}">
  <dimension ref="A1:H25"/>
  <sheetViews>
    <sheetView tabSelected="1" zoomScale="145" zoomScaleNormal="145" workbookViewId="0">
      <selection activeCell="E25" sqref="E25"/>
    </sheetView>
  </sheetViews>
  <sheetFormatPr defaultRowHeight="15" x14ac:dyDescent="0.25"/>
  <cols>
    <col min="1" max="1" width="18.7109375" style="125" customWidth="1"/>
    <col min="2" max="2" width="32.7109375" customWidth="1"/>
    <col min="3" max="3" width="15" bestFit="1" customWidth="1"/>
    <col min="5" max="5" width="16.140625" bestFit="1" customWidth="1"/>
  </cols>
  <sheetData>
    <row r="1" spans="1:8" ht="15.75" thickBot="1" x14ac:dyDescent="0.3"/>
    <row r="2" spans="1:8" x14ac:dyDescent="0.25">
      <c r="A2" s="163" t="s">
        <v>202</v>
      </c>
      <c r="B2" s="164"/>
      <c r="C2" s="120" t="s">
        <v>201</v>
      </c>
      <c r="H2" s="131"/>
    </row>
    <row r="3" spans="1:8" x14ac:dyDescent="0.25">
      <c r="A3" s="165" t="s">
        <v>23</v>
      </c>
      <c r="B3" s="166"/>
      <c r="C3" s="122"/>
      <c r="H3" s="132"/>
    </row>
    <row r="4" spans="1:8" x14ac:dyDescent="0.25">
      <c r="A4" s="121" t="s">
        <v>285</v>
      </c>
      <c r="B4" s="121" t="s">
        <v>289</v>
      </c>
      <c r="C4" s="123">
        <f>'Truck Diversion (No Build)- Dry'!AF43</f>
        <v>69526568.550763682</v>
      </c>
      <c r="E4" s="153"/>
      <c r="H4" s="132"/>
    </row>
    <row r="5" spans="1:8" x14ac:dyDescent="0.25">
      <c r="A5" s="121" t="s">
        <v>285</v>
      </c>
      <c r="B5" s="121" t="s">
        <v>290</v>
      </c>
      <c r="C5" s="123">
        <f>'Rail Diversion (No Build) - Dry'!AC60</f>
        <v>18424748.926522434</v>
      </c>
      <c r="E5" s="153"/>
      <c r="H5" s="132"/>
    </row>
    <row r="6" spans="1:8" x14ac:dyDescent="0.25">
      <c r="A6" s="121" t="s">
        <v>285</v>
      </c>
      <c r="B6" s="121" t="s">
        <v>291</v>
      </c>
      <c r="C6" s="123">
        <f>'Barge - Liquid'!$AJ$94</f>
        <v>44473524.353745267</v>
      </c>
      <c r="E6" s="153"/>
    </row>
    <row r="7" spans="1:8" x14ac:dyDescent="0.25">
      <c r="A7" s="121" t="s">
        <v>284</v>
      </c>
      <c r="B7" s="121" t="s">
        <v>292</v>
      </c>
      <c r="C7" s="123">
        <f>-'Barge (Build) - Dry'!$AH$79</f>
        <v>-38732885.079824425</v>
      </c>
      <c r="E7" s="154"/>
      <c r="H7" s="26"/>
    </row>
    <row r="8" spans="1:8" x14ac:dyDescent="0.25">
      <c r="A8" s="121" t="s">
        <v>284</v>
      </c>
      <c r="B8" s="121" t="s">
        <v>291</v>
      </c>
      <c r="C8" s="123">
        <f>-'Barge - Liquid'!$AJ$121</f>
        <v>-39458841.294379719</v>
      </c>
      <c r="E8" s="153"/>
      <c r="H8" s="26"/>
    </row>
    <row r="9" spans="1:8" x14ac:dyDescent="0.25">
      <c r="A9" s="121" t="s">
        <v>284</v>
      </c>
      <c r="B9" s="121" t="s">
        <v>282</v>
      </c>
      <c r="C9" s="123">
        <f>((50-20)/50)*'Capital Costs'!$B$3*VLOOKUP('Capital Costs'!$B$5+19,NPV!$B$3:$C$44,2,0)</f>
        <v>5282749.4732989389</v>
      </c>
      <c r="E9" s="153"/>
      <c r="H9" s="26"/>
    </row>
    <row r="10" spans="1:8" x14ac:dyDescent="0.25">
      <c r="A10" s="159" t="s">
        <v>25</v>
      </c>
      <c r="B10" s="160"/>
      <c r="C10" s="122"/>
      <c r="E10" s="155"/>
    </row>
    <row r="11" spans="1:8" x14ac:dyDescent="0.25">
      <c r="A11" s="121" t="s">
        <v>284</v>
      </c>
      <c r="B11" s="121" t="s">
        <v>26</v>
      </c>
      <c r="C11" s="123">
        <f>'Capital Costs'!$D$31</f>
        <v>17450878.140582819</v>
      </c>
      <c r="E11" s="153"/>
    </row>
    <row r="12" spans="1:8" s="1" customFormat="1" x14ac:dyDescent="0.25">
      <c r="A12" s="146" t="s">
        <v>141</v>
      </c>
      <c r="B12" s="147"/>
      <c r="C12" s="148">
        <f>SUM(C4:C9)-C11</f>
        <v>42064986.78954336</v>
      </c>
      <c r="E12" s="156"/>
    </row>
    <row r="13" spans="1:8" ht="15.75" thickBot="1" x14ac:dyDescent="0.3">
      <c r="A13" s="161" t="s">
        <v>27</v>
      </c>
      <c r="B13" s="162"/>
      <c r="C13" s="124">
        <f>(SUM(C4:C9)/C11)</f>
        <v>3.4104796589988964</v>
      </c>
      <c r="E13" s="157"/>
    </row>
    <row r="14" spans="1:8" ht="15.75" thickBot="1" x14ac:dyDescent="0.3"/>
    <row r="15" spans="1:8" x14ac:dyDescent="0.25">
      <c r="A15" s="163" t="s">
        <v>203</v>
      </c>
      <c r="B15" s="164"/>
      <c r="C15" s="120" t="s">
        <v>201</v>
      </c>
    </row>
    <row r="16" spans="1:8" x14ac:dyDescent="0.25">
      <c r="A16" s="165" t="s">
        <v>23</v>
      </c>
      <c r="B16" s="166"/>
      <c r="C16" s="122"/>
    </row>
    <row r="17" spans="1:5" x14ac:dyDescent="0.25">
      <c r="A17" s="121" t="s">
        <v>285</v>
      </c>
      <c r="B17" s="121" t="s">
        <v>289</v>
      </c>
      <c r="C17" s="123">
        <f>'Truck Diversion (No Build)- Dry'!$AF$68</f>
        <v>77769790.754927784</v>
      </c>
      <c r="E17" s="153"/>
    </row>
    <row r="18" spans="1:5" x14ac:dyDescent="0.25">
      <c r="A18" s="121" t="s">
        <v>285</v>
      </c>
      <c r="B18" s="121" t="s">
        <v>291</v>
      </c>
      <c r="C18" s="123">
        <f>'Barge - Liquid'!$AJ$94</f>
        <v>44473524.353745267</v>
      </c>
      <c r="E18" s="153"/>
    </row>
    <row r="19" spans="1:5" x14ac:dyDescent="0.25">
      <c r="A19" s="121" t="s">
        <v>284</v>
      </c>
      <c r="B19" s="121" t="s">
        <v>292</v>
      </c>
      <c r="C19" s="123">
        <f>-'Barge (Build) - Dry'!$AH$79</f>
        <v>-38732885.079824425</v>
      </c>
      <c r="E19" s="154"/>
    </row>
    <row r="20" spans="1:5" x14ac:dyDescent="0.25">
      <c r="A20" s="121" t="s">
        <v>284</v>
      </c>
      <c r="B20" s="121" t="s">
        <v>291</v>
      </c>
      <c r="C20" s="123">
        <f>-'Barge - Liquid'!$AJ$121</f>
        <v>-39458841.294379719</v>
      </c>
      <c r="E20" s="153"/>
    </row>
    <row r="21" spans="1:5" x14ac:dyDescent="0.25">
      <c r="A21" s="121" t="s">
        <v>284</v>
      </c>
      <c r="B21" s="121" t="s">
        <v>282</v>
      </c>
      <c r="C21" s="123">
        <f>((50-20)/50)*'Capital Costs'!$B$3*VLOOKUP('Capital Costs'!$B$5+19,NPV!$B$3:$C$44,2,0)</f>
        <v>5282749.4732989389</v>
      </c>
      <c r="E21" s="153"/>
    </row>
    <row r="22" spans="1:5" x14ac:dyDescent="0.25">
      <c r="A22" s="159" t="s">
        <v>25</v>
      </c>
      <c r="B22" s="160"/>
      <c r="C22" s="122"/>
      <c r="E22" s="155"/>
    </row>
    <row r="23" spans="1:5" x14ac:dyDescent="0.25">
      <c r="A23" s="121" t="s">
        <v>284</v>
      </c>
      <c r="B23" s="121" t="s">
        <v>26</v>
      </c>
      <c r="C23" s="123">
        <f>'Capital Costs'!$D$31</f>
        <v>17450878.140582819</v>
      </c>
      <c r="E23" s="153"/>
    </row>
    <row r="24" spans="1:5" s="1" customFormat="1" x14ac:dyDescent="0.25">
      <c r="A24" s="146" t="s">
        <v>141</v>
      </c>
      <c r="B24" s="147"/>
      <c r="C24" s="148">
        <f>SUM(C17:C21)-C23</f>
        <v>31883460.067185018</v>
      </c>
      <c r="E24" s="156"/>
    </row>
    <row r="25" spans="1:5" ht="15.75" thickBot="1" x14ac:dyDescent="0.3">
      <c r="A25" s="161" t="s">
        <v>27</v>
      </c>
      <c r="B25" s="162"/>
      <c r="C25" s="124">
        <f>(SUM(C17:C21)/C23)</f>
        <v>2.827040439474422</v>
      </c>
      <c r="E25" s="157"/>
    </row>
  </sheetData>
  <mergeCells count="8">
    <mergeCell ref="A22:B22"/>
    <mergeCell ref="A25:B25"/>
    <mergeCell ref="A2:B2"/>
    <mergeCell ref="A3:B3"/>
    <mergeCell ref="A10:B10"/>
    <mergeCell ref="A13:B13"/>
    <mergeCell ref="A15:B15"/>
    <mergeCell ref="A16:B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F273C-9427-40B7-941E-B8597CF7923F}">
  <dimension ref="A2:BA54"/>
  <sheetViews>
    <sheetView topLeftCell="I11" workbookViewId="0">
      <selection activeCell="AG51" sqref="AG51"/>
    </sheetView>
  </sheetViews>
  <sheetFormatPr defaultRowHeight="15" x14ac:dyDescent="0.25"/>
  <cols>
    <col min="1" max="1" width="12.85546875" customWidth="1"/>
    <col min="3" max="3" width="11.5703125" customWidth="1"/>
    <col min="4" max="4" width="12.28515625" customWidth="1"/>
    <col min="5" max="5" width="13.42578125" customWidth="1"/>
    <col min="6" max="6" width="15.28515625" customWidth="1"/>
    <col min="7" max="7" width="13.28515625" customWidth="1"/>
    <col min="8" max="8" width="12.5703125" bestFit="1" customWidth="1"/>
    <col min="9" max="9" width="12.5703125" customWidth="1"/>
    <col min="10" max="11" width="12.140625" customWidth="1"/>
    <col min="12" max="12" width="14.140625" customWidth="1"/>
    <col min="14" max="14" width="11" customWidth="1"/>
    <col min="15" max="15" width="14" customWidth="1"/>
    <col min="16" max="16" width="13.5703125" customWidth="1"/>
    <col min="17" max="17" width="14.28515625" customWidth="1"/>
    <col min="18" max="18" width="10.7109375" customWidth="1"/>
    <col min="19" max="19" width="11.140625" customWidth="1"/>
    <col min="20" max="20" width="13.28515625" customWidth="1"/>
    <col min="21" max="21" width="14.42578125" customWidth="1"/>
    <col min="22" max="29" width="12.28515625" customWidth="1"/>
    <col min="30" max="31" width="18.7109375" customWidth="1"/>
  </cols>
  <sheetData>
    <row r="2" spans="1:53" ht="20.25" thickBot="1" x14ac:dyDescent="0.35">
      <c r="A2" s="19" t="s">
        <v>364</v>
      </c>
    </row>
    <row r="3" spans="1:53" ht="29.45" customHeight="1" thickTop="1" x14ac:dyDescent="0.25">
      <c r="C3" s="168" t="s">
        <v>340</v>
      </c>
      <c r="D3" s="168"/>
      <c r="E3" s="168"/>
      <c r="F3" s="168"/>
      <c r="G3" s="168"/>
      <c r="H3" s="1"/>
      <c r="I3" s="169" t="s">
        <v>348</v>
      </c>
      <c r="J3" s="169"/>
      <c r="K3" s="169"/>
      <c r="L3" s="169"/>
      <c r="M3" s="169"/>
      <c r="N3" s="169"/>
      <c r="O3" s="169"/>
      <c r="P3" s="169"/>
      <c r="Q3" s="169"/>
      <c r="R3" s="141"/>
      <c r="S3" s="169" t="s">
        <v>349</v>
      </c>
      <c r="T3" s="169"/>
      <c r="U3" s="169"/>
      <c r="V3" s="169"/>
      <c r="W3" s="169"/>
      <c r="X3" s="169"/>
      <c r="Y3" s="169"/>
      <c r="Z3" s="169"/>
      <c r="AA3" s="141"/>
      <c r="AB3" s="15" t="s">
        <v>282</v>
      </c>
      <c r="AC3" s="141"/>
      <c r="AD3" s="15" t="s">
        <v>370</v>
      </c>
      <c r="AE3" s="15" t="s">
        <v>378</v>
      </c>
      <c r="AH3" s="1"/>
      <c r="AI3" s="141"/>
      <c r="AJ3" s="141"/>
      <c r="AK3" s="141"/>
      <c r="AL3" s="141"/>
      <c r="AM3" s="141"/>
      <c r="AN3" s="141"/>
      <c r="AO3" s="141"/>
      <c r="AP3" s="141"/>
      <c r="AQ3" s="141"/>
      <c r="AR3" s="141"/>
      <c r="AS3" s="140"/>
      <c r="AT3" s="167"/>
      <c r="AU3" s="167"/>
      <c r="AV3" s="1"/>
      <c r="AY3" s="1"/>
      <c r="AZ3" s="1"/>
      <c r="BA3" s="1"/>
    </row>
    <row r="4" spans="1:53" s="74" customFormat="1" ht="60" x14ac:dyDescent="0.25">
      <c r="A4" s="15" t="s">
        <v>80</v>
      </c>
      <c r="B4" s="134"/>
      <c r="C4" s="15" t="s">
        <v>341</v>
      </c>
      <c r="D4" s="15" t="s">
        <v>361</v>
      </c>
      <c r="E4" s="135" t="s">
        <v>359</v>
      </c>
      <c r="F4" s="15" t="s">
        <v>346</v>
      </c>
      <c r="G4" s="15" t="s">
        <v>44</v>
      </c>
      <c r="H4" s="134"/>
      <c r="I4" s="145" t="s">
        <v>138</v>
      </c>
      <c r="J4" s="145" t="s">
        <v>374</v>
      </c>
      <c r="K4" s="145" t="s">
        <v>151</v>
      </c>
      <c r="L4" s="15" t="s">
        <v>375</v>
      </c>
      <c r="M4" s="15" t="s">
        <v>352</v>
      </c>
      <c r="N4" s="15" t="s">
        <v>355</v>
      </c>
      <c r="O4" s="15" t="s">
        <v>357</v>
      </c>
      <c r="P4" s="15" t="s">
        <v>346</v>
      </c>
      <c r="Q4" s="15" t="s">
        <v>44</v>
      </c>
      <c r="R4" s="144" t="s">
        <v>373</v>
      </c>
      <c r="S4" s="145" t="s">
        <v>350</v>
      </c>
      <c r="T4" s="145" t="s">
        <v>151</v>
      </c>
      <c r="U4" s="15" t="s">
        <v>375</v>
      </c>
      <c r="V4" s="15" t="s">
        <v>352</v>
      </c>
      <c r="W4" s="15" t="s">
        <v>355</v>
      </c>
      <c r="X4" s="15" t="s">
        <v>357</v>
      </c>
      <c r="Y4" s="15" t="s">
        <v>346</v>
      </c>
      <c r="Z4" s="15" t="s">
        <v>44</v>
      </c>
      <c r="AA4" s="140"/>
      <c r="AB4" s="15" t="s">
        <v>282</v>
      </c>
      <c r="AD4" s="15" t="s">
        <v>44</v>
      </c>
      <c r="AE4" s="15" t="s">
        <v>44</v>
      </c>
    </row>
    <row r="5" spans="1:53" x14ac:dyDescent="0.25">
      <c r="A5" s="5">
        <f>'Truck Diversion (No Build)- Dry'!B3</f>
        <v>2028</v>
      </c>
      <c r="B5" s="9"/>
      <c r="C5" s="16">
        <f>'Barge - Liquid'!L74-'Barge - Liquid'!L101</f>
        <v>106691.05194245161</v>
      </c>
      <c r="D5" s="16">
        <f>'Barge - Liquid'!F74-'Barge - Liquid'!F101</f>
        <v>300000</v>
      </c>
      <c r="E5" s="16">
        <f>('Barge - Liquid'!$B$61)*(0.75-0.25)</f>
        <v>19250</v>
      </c>
      <c r="F5" s="142">
        <f>'Barge - Liquid'!$B$63*-0.5</f>
        <v>-38500</v>
      </c>
      <c r="G5" s="16">
        <f>SUM(C5:F5)</f>
        <v>387441.05194245162</v>
      </c>
      <c r="H5" s="8"/>
      <c r="I5" s="16">
        <f>'Truck Diversion (No Build)- Dry'!F23</f>
        <v>2493444.0960000004</v>
      </c>
      <c r="J5" s="16">
        <f>'Rail Diversion (No Build) - Dry'!G40</f>
        <v>339353.04</v>
      </c>
      <c r="K5" s="16">
        <f>'Barge (Build) - Dry'!F59+'Barge (Build) - Dry'!H59</f>
        <v>2670723.4747636062</v>
      </c>
      <c r="L5" s="142">
        <f>(I5+J5)-K5</f>
        <v>162073.6612363942</v>
      </c>
      <c r="M5" s="16">
        <f>('Truck Diversion (No Build)- Dry'!Z23+'Rail Diversion (No Build) - Dry'!Z40)-'Barge (Build) - Dry'!AD59</f>
        <v>41626.804287529354</v>
      </c>
      <c r="N5" s="16">
        <f>'Truck Diversion (No Build)- Dry'!V23+'Truck Diversion (No Build)- Dry'!X23</f>
        <v>487354.98239999998</v>
      </c>
      <c r="O5" s="16">
        <f>('Truck Diversion (No Build)- Dry'!S23+'Rail Diversion (No Build) - Dry'!P40)-'Barge (Build) - Dry'!W59</f>
        <v>1547109.3521403428</v>
      </c>
      <c r="P5" s="142">
        <f>'Barge - Liquid'!$B$63*-0.5</f>
        <v>-38500</v>
      </c>
      <c r="Q5" s="16">
        <f>SUM(I5:P5)</f>
        <v>7703185.4108278733</v>
      </c>
      <c r="S5" s="16">
        <f>'Truck Diversion (No Build)- Dry'!F48</f>
        <v>2725392.3840000005</v>
      </c>
      <c r="T5" s="16">
        <f>K5</f>
        <v>2670723.4747636062</v>
      </c>
      <c r="U5" s="142">
        <f>S5-T5</f>
        <v>54668.909236394335</v>
      </c>
      <c r="V5" s="16">
        <f>'Truck Diversion (No Build)- Dry'!Z48-'Barge (Build) - Dry'!AD59</f>
        <v>41240.663172268447</v>
      </c>
      <c r="W5" s="16">
        <f>'Truck Diversion (No Build)- Dry'!V48+'Truck Diversion (No Build)- Dry'!X48</f>
        <v>532690.32960000006</v>
      </c>
      <c r="X5" s="16">
        <f>'Truck Diversion (No Build)- Dry'!S48-'Barge (Build) - Dry'!W59</f>
        <v>512584.49454034294</v>
      </c>
      <c r="Y5" s="142">
        <f>'Barge - Liquid'!$B$63*-0.5</f>
        <v>-38500</v>
      </c>
      <c r="Z5" s="16">
        <f>SUM(S5:Y5)</f>
        <v>6498800.2553126123</v>
      </c>
      <c r="AA5" s="8"/>
      <c r="AB5" s="16">
        <v>0</v>
      </c>
      <c r="AD5" s="16">
        <f t="shared" ref="AD5:AD25" si="0">SUM(G5,Q5,AB5)</f>
        <v>8090626.4627703251</v>
      </c>
      <c r="AE5" s="16">
        <f>SUM(G5,Z5,AB5)</f>
        <v>6886241.3072550641</v>
      </c>
      <c r="AG5" s="61"/>
      <c r="AH5" s="61"/>
      <c r="AI5" s="61"/>
    </row>
    <row r="6" spans="1:53" x14ac:dyDescent="0.25">
      <c r="A6" s="5">
        <f>A5+1</f>
        <v>2029</v>
      </c>
      <c r="B6" s="9"/>
      <c r="C6" s="16">
        <f>'Barge - Liquid'!L75-'Barge - Liquid'!L102</f>
        <v>106691.05194245161</v>
      </c>
      <c r="D6" s="16">
        <f>'Barge - Liquid'!F75-'Barge - Liquid'!F102</f>
        <v>300000</v>
      </c>
      <c r="E6" s="16">
        <f>('Barge - Liquid'!$B$61)*(0.75-0.25)</f>
        <v>19250</v>
      </c>
      <c r="F6" s="142">
        <f>'Barge - Liquid'!$B$63*-0.5</f>
        <v>-38500</v>
      </c>
      <c r="G6" s="16">
        <f t="shared" ref="G6:G24" si="1">SUM(C6:F6)</f>
        <v>387441.05194245162</v>
      </c>
      <c r="H6" s="8"/>
      <c r="I6" s="16">
        <f>'Truck Diversion (No Build)- Dry'!F24</f>
        <v>2493444.0960000004</v>
      </c>
      <c r="J6" s="16">
        <f>'Rail Diversion (No Build) - Dry'!G41</f>
        <v>339353.04</v>
      </c>
      <c r="K6" s="16">
        <f>'Barge (Build) - Dry'!F60+'Barge (Build) - Dry'!H60</f>
        <v>2670723.4747636062</v>
      </c>
      <c r="L6" s="142">
        <f t="shared" ref="L6:L24" si="2">(I6+J6)-K6</f>
        <v>162073.6612363942</v>
      </c>
      <c r="M6" s="16">
        <f>('Truck Diversion (No Build)- Dry'!Z24+'Rail Diversion (No Build) - Dry'!Z41)-'Barge (Build) - Dry'!AD60</f>
        <v>41561.038141871657</v>
      </c>
      <c r="N6" s="16">
        <f>'Truck Diversion (No Build)- Dry'!V24+'Truck Diversion (No Build)- Dry'!X24</f>
        <v>487354.98239999998</v>
      </c>
      <c r="O6" s="16">
        <f>('Truck Diversion (No Build)- Dry'!S24+'Rail Diversion (No Build) - Dry'!P41)-'Barge (Build) - Dry'!W60</f>
        <v>1544672.3331000784</v>
      </c>
      <c r="P6" s="142">
        <f>'Barge - Liquid'!$B$63*-0.5</f>
        <v>-38500</v>
      </c>
      <c r="Q6" s="16">
        <f t="shared" ref="Q6:Q24" si="3">SUM(I6:P6)</f>
        <v>7700682.6256419513</v>
      </c>
      <c r="S6" s="16">
        <f>'Truck Diversion (No Build)- Dry'!F49</f>
        <v>2725392.3840000005</v>
      </c>
      <c r="T6" s="16">
        <f t="shared" ref="T6:T24" si="4">K6</f>
        <v>2670723.4747636062</v>
      </c>
      <c r="U6" s="142">
        <f t="shared" ref="U6:U24" si="5">S6-T6</f>
        <v>54668.909236394335</v>
      </c>
      <c r="V6" s="16">
        <f>'Truck Diversion (No Build)- Dry'!Z49-'Barge (Build) - Dry'!AD60</f>
        <v>41240.663172268447</v>
      </c>
      <c r="W6" s="16">
        <f>'Truck Diversion (No Build)- Dry'!V49+'Truck Diversion (No Build)- Dry'!X49</f>
        <v>532690.32960000006</v>
      </c>
      <c r="X6" s="16">
        <f>'Truck Diversion (No Build)- Dry'!S49-'Barge (Build) - Dry'!W60</f>
        <v>510147.47550007852</v>
      </c>
      <c r="Y6" s="142">
        <f>'Barge - Liquid'!$B$63*-0.5</f>
        <v>-38500</v>
      </c>
      <c r="Z6" s="16">
        <f t="shared" ref="Z6:Z24" si="6">SUM(S6:Y6)</f>
        <v>6496363.2362723481</v>
      </c>
      <c r="AA6" s="8"/>
      <c r="AB6" s="16">
        <v>0</v>
      </c>
      <c r="AD6" s="16">
        <f t="shared" si="0"/>
        <v>8088123.6775844032</v>
      </c>
      <c r="AE6" s="16">
        <f t="shared" ref="AE6:AE25" si="7">SUM(G6,Z6,AB6)</f>
        <v>6883804.2882147999</v>
      </c>
      <c r="AG6" s="61"/>
      <c r="AH6" s="61"/>
      <c r="AI6" s="61"/>
    </row>
    <row r="7" spans="1:53" x14ac:dyDescent="0.25">
      <c r="A7" s="5">
        <f t="shared" ref="A7:A24" si="8">A6+1</f>
        <v>2030</v>
      </c>
      <c r="B7" s="9"/>
      <c r="C7" s="16">
        <f>'Barge - Liquid'!L76-'Barge - Liquid'!L103</f>
        <v>106691.05194245161</v>
      </c>
      <c r="D7" s="16">
        <f>'Barge - Liquid'!F76-'Barge - Liquid'!F103</f>
        <v>300000</v>
      </c>
      <c r="E7" s="16">
        <f>('Barge - Liquid'!$B$61)*(0.75-0.25)</f>
        <v>19250</v>
      </c>
      <c r="F7" s="142">
        <f>'Barge - Liquid'!$B$63*-0.5</f>
        <v>-38500</v>
      </c>
      <c r="G7" s="16">
        <f t="shared" si="1"/>
        <v>387441.05194245162</v>
      </c>
      <c r="H7" s="8"/>
      <c r="I7" s="16">
        <f>'Truck Diversion (No Build)- Dry'!F25</f>
        <v>2493444.0960000004</v>
      </c>
      <c r="J7" s="16">
        <f>'Rail Diversion (No Build) - Dry'!G42</f>
        <v>339353.04</v>
      </c>
      <c r="K7" s="16">
        <f>'Barge (Build) - Dry'!F61+'Barge (Build) - Dry'!H61</f>
        <v>2670723.4747636062</v>
      </c>
      <c r="L7" s="142">
        <f t="shared" si="2"/>
        <v>162073.6612363942</v>
      </c>
      <c r="M7" s="16">
        <f>('Truck Diversion (No Build)- Dry'!Z25+'Rail Diversion (No Build) - Dry'!Z42)-'Barge (Build) - Dry'!AD61</f>
        <v>41497.249445792411</v>
      </c>
      <c r="N7" s="16">
        <f>'Truck Diversion (No Build)- Dry'!V25+'Truck Diversion (No Build)- Dry'!X25</f>
        <v>487354.98239999998</v>
      </c>
      <c r="O7" s="16">
        <f>('Truck Diversion (No Build)- Dry'!S25+'Rail Diversion (No Build) - Dry'!P42)-'Barge (Build) - Dry'!W61</f>
        <v>1541422.9743797258</v>
      </c>
      <c r="P7" s="142">
        <f>'Barge - Liquid'!$B$63*-0.5</f>
        <v>-38500</v>
      </c>
      <c r="Q7" s="16">
        <f t="shared" si="3"/>
        <v>7697369.4782255189</v>
      </c>
      <c r="S7" s="16">
        <f>'Truck Diversion (No Build)- Dry'!F50</f>
        <v>2725392.3840000005</v>
      </c>
      <c r="T7" s="16">
        <f t="shared" si="4"/>
        <v>2670723.4747636062</v>
      </c>
      <c r="U7" s="142">
        <f t="shared" si="5"/>
        <v>54668.909236394335</v>
      </c>
      <c r="V7" s="16">
        <f>'Truck Diversion (No Build)- Dry'!Z50-'Barge (Build) - Dry'!AD61</f>
        <v>41240.663172268447</v>
      </c>
      <c r="W7" s="16">
        <f>'Truck Diversion (No Build)- Dry'!V50+'Truck Diversion (No Build)- Dry'!X50</f>
        <v>532690.32960000006</v>
      </c>
      <c r="X7" s="16">
        <f>'Truck Diversion (No Build)- Dry'!S50-'Barge (Build) - Dry'!W61</f>
        <v>506898.11677972588</v>
      </c>
      <c r="Y7" s="142">
        <f>'Barge - Liquid'!$B$63*-0.5</f>
        <v>-38500</v>
      </c>
      <c r="Z7" s="16">
        <f t="shared" si="6"/>
        <v>6493113.8775519952</v>
      </c>
      <c r="AA7" s="8"/>
      <c r="AB7" s="16">
        <v>0</v>
      </c>
      <c r="AD7" s="16">
        <f t="shared" si="0"/>
        <v>8084810.5301679708</v>
      </c>
      <c r="AE7" s="16">
        <f t="shared" si="7"/>
        <v>6880554.9294944471</v>
      </c>
      <c r="AG7" s="61"/>
      <c r="AH7" s="61"/>
      <c r="AI7" s="61"/>
    </row>
    <row r="8" spans="1:53" x14ac:dyDescent="0.25">
      <c r="A8" s="5">
        <f t="shared" si="8"/>
        <v>2031</v>
      </c>
      <c r="B8" s="9"/>
      <c r="C8" s="16">
        <f>'Barge - Liquid'!L77-'Barge - Liquid'!L104</f>
        <v>106691.05194245161</v>
      </c>
      <c r="D8" s="16">
        <f>'Barge - Liquid'!F77-'Barge - Liquid'!F104</f>
        <v>300000</v>
      </c>
      <c r="E8" s="16">
        <f>('Barge - Liquid'!$B$61)*(0.75-0.25)</f>
        <v>19250</v>
      </c>
      <c r="F8" s="142">
        <f>'Barge - Liquid'!$B$63*-0.5</f>
        <v>-38500</v>
      </c>
      <c r="G8" s="16">
        <f t="shared" si="1"/>
        <v>387441.05194245162</v>
      </c>
      <c r="H8" s="8"/>
      <c r="I8" s="16">
        <f>'Truck Diversion (No Build)- Dry'!F26</f>
        <v>2493444.0960000004</v>
      </c>
      <c r="J8" s="16">
        <f>'Rail Diversion (No Build) - Dry'!G43</f>
        <v>339353.04</v>
      </c>
      <c r="K8" s="16">
        <f>'Barge (Build) - Dry'!F62+'Barge (Build) - Dry'!H62</f>
        <v>2670723.4747636062</v>
      </c>
      <c r="L8" s="142">
        <f t="shared" si="2"/>
        <v>162073.6612363942</v>
      </c>
      <c r="M8" s="16">
        <f>('Truck Diversion (No Build)- Dry'!Z26+'Rail Diversion (No Build) - Dry'!Z43)-'Barge (Build) - Dry'!AD62</f>
        <v>41435.378741544839</v>
      </c>
      <c r="N8" s="16">
        <f>'Truck Diversion (No Build)- Dry'!V26+'Truck Diversion (No Build)- Dry'!X26</f>
        <v>487354.98239999998</v>
      </c>
      <c r="O8" s="16">
        <f>('Truck Diversion (No Build)- Dry'!S26+'Rail Diversion (No Build) - Dry'!P43)-'Barge (Build) - Dry'!W62</f>
        <v>1538173.6156593731</v>
      </c>
      <c r="P8" s="142">
        <f>'Barge - Liquid'!$B$63*-0.5</f>
        <v>-38500</v>
      </c>
      <c r="Q8" s="16">
        <f t="shared" si="3"/>
        <v>7694058.2488009185</v>
      </c>
      <c r="S8" s="16">
        <f>'Truck Diversion (No Build)- Dry'!F51</f>
        <v>2725392.3840000005</v>
      </c>
      <c r="T8" s="16">
        <f t="shared" si="4"/>
        <v>2670723.4747636062</v>
      </c>
      <c r="U8" s="142">
        <f t="shared" si="5"/>
        <v>54668.909236394335</v>
      </c>
      <c r="V8" s="16">
        <f>'Truck Diversion (No Build)- Dry'!Z51-'Barge (Build) - Dry'!AD62</f>
        <v>41240.663172268447</v>
      </c>
      <c r="W8" s="16">
        <f>'Truck Diversion (No Build)- Dry'!V51+'Truck Diversion (No Build)- Dry'!X51</f>
        <v>532690.32960000006</v>
      </c>
      <c r="X8" s="16">
        <f>'Truck Diversion (No Build)- Dry'!S51-'Barge (Build) - Dry'!W62</f>
        <v>503648.7580593733</v>
      </c>
      <c r="Y8" s="142">
        <f>'Barge - Liquid'!$B$63*-0.5</f>
        <v>-38500</v>
      </c>
      <c r="Z8" s="16">
        <f t="shared" si="6"/>
        <v>6489864.5188316423</v>
      </c>
      <c r="AA8" s="8"/>
      <c r="AB8" s="16">
        <v>0</v>
      </c>
      <c r="AD8" s="16">
        <f t="shared" si="0"/>
        <v>8081499.3007433703</v>
      </c>
      <c r="AE8" s="16">
        <f t="shared" si="7"/>
        <v>6877305.5707740942</v>
      </c>
      <c r="AG8" s="61"/>
      <c r="AH8" s="61"/>
      <c r="AI8" s="61"/>
    </row>
    <row r="9" spans="1:53" x14ac:dyDescent="0.25">
      <c r="A9" s="5">
        <f t="shared" si="8"/>
        <v>2032</v>
      </c>
      <c r="B9" s="9"/>
      <c r="C9" s="16">
        <f>'Barge - Liquid'!L78-'Barge - Liquid'!L105</f>
        <v>106691.05194245161</v>
      </c>
      <c r="D9" s="16">
        <f>'Barge - Liquid'!F78-'Barge - Liquid'!F105</f>
        <v>300000</v>
      </c>
      <c r="E9" s="16">
        <f>('Barge - Liquid'!$B$61)*(0.75-0.25)</f>
        <v>19250</v>
      </c>
      <c r="F9" s="142">
        <f>'Barge - Liquid'!$B$63*-0.5</f>
        <v>-38500</v>
      </c>
      <c r="G9" s="16">
        <f t="shared" si="1"/>
        <v>387441.05194245162</v>
      </c>
      <c r="H9" s="8"/>
      <c r="I9" s="16">
        <f>'Truck Diversion (No Build)- Dry'!F27</f>
        <v>2493444.0960000004</v>
      </c>
      <c r="J9" s="16">
        <f>'Rail Diversion (No Build) - Dry'!G44</f>
        <v>339353.04</v>
      </c>
      <c r="K9" s="16">
        <f>'Barge (Build) - Dry'!F63+'Barge (Build) - Dry'!H63</f>
        <v>2670723.4747636062</v>
      </c>
      <c r="L9" s="142">
        <f t="shared" si="2"/>
        <v>162073.6612363942</v>
      </c>
      <c r="M9" s="16">
        <f>('Truck Diversion (No Build)- Dry'!Z27+'Rail Diversion (No Build) - Dry'!Z44)-'Barge (Build) - Dry'!AD63</f>
        <v>41375.368359151471</v>
      </c>
      <c r="N9" s="16">
        <f>'Truck Diversion (No Build)- Dry'!V27+'Truck Diversion (No Build)- Dry'!X27</f>
        <v>487354.98239999998</v>
      </c>
      <c r="O9" s="16">
        <f>('Truck Diversion (No Build)- Dry'!S27+'Rail Diversion (No Build) - Dry'!P44)-'Barge (Build) - Dry'!W63</f>
        <v>1535736.5966191087</v>
      </c>
      <c r="P9" s="142">
        <f>'Barge - Liquid'!$B$63*-0.5</f>
        <v>-38500</v>
      </c>
      <c r="Q9" s="16">
        <f t="shared" si="3"/>
        <v>7691561.2193782609</v>
      </c>
      <c r="S9" s="16">
        <f>'Truck Diversion (No Build)- Dry'!F52</f>
        <v>2725392.3840000005</v>
      </c>
      <c r="T9" s="16">
        <f t="shared" si="4"/>
        <v>2670723.4747636062</v>
      </c>
      <c r="U9" s="142">
        <f t="shared" si="5"/>
        <v>54668.909236394335</v>
      </c>
      <c r="V9" s="16">
        <f>'Truck Diversion (No Build)- Dry'!Z52-'Barge (Build) - Dry'!AD63</f>
        <v>41240.663172268447</v>
      </c>
      <c r="W9" s="16">
        <f>'Truck Diversion (No Build)- Dry'!V52+'Truck Diversion (No Build)- Dry'!X52</f>
        <v>532690.32960000006</v>
      </c>
      <c r="X9" s="16">
        <f>'Truck Diversion (No Build)- Dry'!S52-'Barge (Build) - Dry'!W63</f>
        <v>501211.73901910888</v>
      </c>
      <c r="Y9" s="142">
        <f>'Barge - Liquid'!$B$63*-0.5</f>
        <v>-38500</v>
      </c>
      <c r="Z9" s="16">
        <f t="shared" si="6"/>
        <v>6487427.4997913782</v>
      </c>
      <c r="AA9" s="8"/>
      <c r="AB9" s="16">
        <v>0</v>
      </c>
      <c r="AD9" s="16">
        <f t="shared" si="0"/>
        <v>8079002.2713207128</v>
      </c>
      <c r="AE9" s="16">
        <f t="shared" si="7"/>
        <v>6874868.55173383</v>
      </c>
      <c r="AG9" s="61"/>
      <c r="AH9" s="61"/>
      <c r="AI9" s="61"/>
    </row>
    <row r="10" spans="1:53" x14ac:dyDescent="0.25">
      <c r="A10" s="5">
        <f t="shared" si="8"/>
        <v>2033</v>
      </c>
      <c r="B10" s="9"/>
      <c r="C10" s="16">
        <f>'Barge - Liquid'!L79-'Barge - Liquid'!L106</f>
        <v>106691.05194245161</v>
      </c>
      <c r="D10" s="16">
        <f>'Barge - Liquid'!F79-'Barge - Liquid'!F106</f>
        <v>300000</v>
      </c>
      <c r="E10" s="16">
        <f>('Barge - Liquid'!$B$61)*(0.75-0.25)</f>
        <v>19250</v>
      </c>
      <c r="F10" s="142">
        <f>'Barge - Liquid'!$B$63*-0.5</f>
        <v>-38500</v>
      </c>
      <c r="G10" s="16">
        <f t="shared" si="1"/>
        <v>387441.05194245162</v>
      </c>
      <c r="H10" s="8"/>
      <c r="I10" s="16">
        <f>'Truck Diversion (No Build)- Dry'!F28</f>
        <v>2493444.0960000004</v>
      </c>
      <c r="J10" s="16">
        <f>'Rail Diversion (No Build) - Dry'!G45</f>
        <v>339353.04</v>
      </c>
      <c r="K10" s="16">
        <f>'Barge (Build) - Dry'!F64+'Barge (Build) - Dry'!H64</f>
        <v>2670723.4747636062</v>
      </c>
      <c r="L10" s="142">
        <f t="shared" si="2"/>
        <v>162073.6612363942</v>
      </c>
      <c r="M10" s="16">
        <f>('Truck Diversion (No Build)- Dry'!Z28+'Rail Diversion (No Build) - Dry'!Z45)-'Barge (Build) - Dry'!AD64</f>
        <v>41317.162362649651</v>
      </c>
      <c r="N10" s="16">
        <f>'Truck Diversion (No Build)- Dry'!V28+'Truck Diversion (No Build)- Dry'!X28</f>
        <v>487354.98239999998</v>
      </c>
      <c r="O10" s="16">
        <f>('Truck Diversion (No Build)- Dry'!S28+'Rail Diversion (No Build) - Dry'!P45)-'Barge (Build) - Dry'!W64</f>
        <v>1532487.2378987561</v>
      </c>
      <c r="P10" s="142">
        <f>'Barge - Liquid'!$B$63*-0.5</f>
        <v>-38500</v>
      </c>
      <c r="Q10" s="16">
        <f t="shared" si="3"/>
        <v>7688253.6546614068</v>
      </c>
      <c r="S10" s="16">
        <f>'Truck Diversion (No Build)- Dry'!F53</f>
        <v>2725392.3840000005</v>
      </c>
      <c r="T10" s="16">
        <f t="shared" si="4"/>
        <v>2670723.4747636062</v>
      </c>
      <c r="U10" s="142">
        <f t="shared" si="5"/>
        <v>54668.909236394335</v>
      </c>
      <c r="V10" s="16">
        <f>'Truck Diversion (No Build)- Dry'!Z53-'Barge (Build) - Dry'!AD64</f>
        <v>41240.663172268447</v>
      </c>
      <c r="W10" s="16">
        <f>'Truck Diversion (No Build)- Dry'!V53+'Truck Diversion (No Build)- Dry'!X53</f>
        <v>532690.32960000006</v>
      </c>
      <c r="X10" s="16">
        <f>'Truck Diversion (No Build)- Dry'!S53-'Barge (Build) - Dry'!W64</f>
        <v>497962.3802987563</v>
      </c>
      <c r="Y10" s="142">
        <f>'Barge - Liquid'!$B$63*-0.5</f>
        <v>-38500</v>
      </c>
      <c r="Z10" s="16">
        <f t="shared" si="6"/>
        <v>6484178.1410710253</v>
      </c>
      <c r="AA10" s="8"/>
      <c r="AB10" s="16">
        <v>0</v>
      </c>
      <c r="AD10" s="16">
        <f t="shared" si="0"/>
        <v>8075694.7066038586</v>
      </c>
      <c r="AE10" s="16">
        <f t="shared" si="7"/>
        <v>6871619.1930134771</v>
      </c>
      <c r="AG10" s="61"/>
      <c r="AH10" s="61"/>
      <c r="AI10" s="61"/>
    </row>
    <row r="11" spans="1:53" x14ac:dyDescent="0.25">
      <c r="A11" s="5">
        <f t="shared" si="8"/>
        <v>2034</v>
      </c>
      <c r="B11" s="9"/>
      <c r="C11" s="16">
        <f>'Barge - Liquid'!L80-'Barge - Liquid'!L107</f>
        <v>106691.05194245161</v>
      </c>
      <c r="D11" s="16">
        <f>'Barge - Liquid'!F80-'Barge - Liquid'!F107</f>
        <v>300000</v>
      </c>
      <c r="E11" s="16">
        <f>('Barge - Liquid'!$B$61)*(0.75-0.25)</f>
        <v>19250</v>
      </c>
      <c r="F11" s="142">
        <f>'Barge - Liquid'!$B$63*-0.5</f>
        <v>-38500</v>
      </c>
      <c r="G11" s="16">
        <f t="shared" si="1"/>
        <v>387441.05194245162</v>
      </c>
      <c r="H11" s="8"/>
      <c r="I11" s="16">
        <f>'Truck Diversion (No Build)- Dry'!F29</f>
        <v>2493444.0960000004</v>
      </c>
      <c r="J11" s="16">
        <f>'Rail Diversion (No Build) - Dry'!G46</f>
        <v>339353.04</v>
      </c>
      <c r="K11" s="16">
        <f>'Barge (Build) - Dry'!F65+'Barge (Build) - Dry'!H65</f>
        <v>2670723.4747636062</v>
      </c>
      <c r="L11" s="142">
        <f t="shared" si="2"/>
        <v>162073.6612363942</v>
      </c>
      <c r="M11" s="16">
        <f>('Truck Diversion (No Build)- Dry'!Z29+'Rail Diversion (No Build) - Dry'!Z46)-'Barge (Build) - Dry'!AD65</f>
        <v>41260.706497953419</v>
      </c>
      <c r="N11" s="16">
        <f>'Truck Diversion (No Build)- Dry'!V29+'Truck Diversion (No Build)- Dry'!X29</f>
        <v>487354.98239999998</v>
      </c>
      <c r="O11" s="16">
        <f>('Truck Diversion (No Build)- Dry'!S29+'Rail Diversion (No Build) - Dry'!P46)-'Barge (Build) - Dry'!W65</f>
        <v>1529237.8791784036</v>
      </c>
      <c r="P11" s="142">
        <f>'Barge - Liquid'!$B$63*-0.5</f>
        <v>-38500</v>
      </c>
      <c r="Q11" s="16">
        <f t="shared" si="3"/>
        <v>7684947.8400763581</v>
      </c>
      <c r="S11" s="16">
        <f>'Truck Diversion (No Build)- Dry'!F54</f>
        <v>2725392.3840000005</v>
      </c>
      <c r="T11" s="16">
        <f t="shared" si="4"/>
        <v>2670723.4747636062</v>
      </c>
      <c r="U11" s="142">
        <f t="shared" si="5"/>
        <v>54668.909236394335</v>
      </c>
      <c r="V11" s="16">
        <f>'Truck Diversion (No Build)- Dry'!Z54-'Barge (Build) - Dry'!AD65</f>
        <v>41240.663172268447</v>
      </c>
      <c r="W11" s="16">
        <f>'Truck Diversion (No Build)- Dry'!V54+'Truck Diversion (No Build)- Dry'!X54</f>
        <v>532690.32960000006</v>
      </c>
      <c r="X11" s="16">
        <f>'Truck Diversion (No Build)- Dry'!S54-'Barge (Build) - Dry'!W65</f>
        <v>494713.02157840366</v>
      </c>
      <c r="Y11" s="142">
        <f>'Barge - Liquid'!$B$63*-0.5</f>
        <v>-38500</v>
      </c>
      <c r="Z11" s="16">
        <f t="shared" si="6"/>
        <v>6480928.7823506724</v>
      </c>
      <c r="AA11" s="8"/>
      <c r="AB11" s="16">
        <v>0</v>
      </c>
      <c r="AD11" s="16">
        <f t="shared" si="0"/>
        <v>8072388.8920188099</v>
      </c>
      <c r="AE11" s="16">
        <f t="shared" si="7"/>
        <v>6868369.8342931243</v>
      </c>
      <c r="AG11" s="61"/>
      <c r="AH11" s="61"/>
      <c r="AI11" s="61"/>
    </row>
    <row r="12" spans="1:53" x14ac:dyDescent="0.25">
      <c r="A12" s="5">
        <f t="shared" si="8"/>
        <v>2035</v>
      </c>
      <c r="B12" s="9"/>
      <c r="C12" s="16">
        <f>'Barge - Liquid'!L81-'Barge - Liquid'!L108</f>
        <v>106691.05194245161</v>
      </c>
      <c r="D12" s="16">
        <f>'Barge - Liquid'!F81-'Barge - Liquid'!F108</f>
        <v>300000</v>
      </c>
      <c r="E12" s="16">
        <f>('Barge - Liquid'!$B$61)*(0.75-0.25)</f>
        <v>19250</v>
      </c>
      <c r="F12" s="142">
        <f>'Barge - Liquid'!$B$63*-0.5</f>
        <v>-38500</v>
      </c>
      <c r="G12" s="16">
        <f t="shared" si="1"/>
        <v>387441.05194245162</v>
      </c>
      <c r="H12" s="8"/>
      <c r="I12" s="16">
        <f>'Truck Diversion (No Build)- Dry'!F30</f>
        <v>2493444.0960000004</v>
      </c>
      <c r="J12" s="16">
        <f>'Rail Diversion (No Build) - Dry'!G47</f>
        <v>339353.04</v>
      </c>
      <c r="K12" s="16">
        <f>'Barge (Build) - Dry'!F66+'Barge (Build) - Dry'!H66</f>
        <v>2670723.4747636062</v>
      </c>
      <c r="L12" s="142">
        <f t="shared" si="2"/>
        <v>162073.6612363942</v>
      </c>
      <c r="M12" s="16">
        <f>('Truck Diversion (No Build)- Dry'!Z30+'Rail Diversion (No Build) - Dry'!Z47)-'Barge (Build) - Dry'!AD66</f>
        <v>41205.948142282963</v>
      </c>
      <c r="N12" s="16">
        <f>'Truck Diversion (No Build)- Dry'!V30+'Truck Diversion (No Build)- Dry'!X30</f>
        <v>487354.98239999998</v>
      </c>
      <c r="O12" s="16">
        <f>('Truck Diversion (No Build)- Dry'!S30+'Rail Diversion (No Build) - Dry'!P47)-'Barge (Build) - Dry'!W66</f>
        <v>1526800.8601381392</v>
      </c>
      <c r="P12" s="142">
        <f>'Barge - Liquid'!$B$63*-0.5</f>
        <v>-38500</v>
      </c>
      <c r="Q12" s="16">
        <f t="shared" si="3"/>
        <v>7682456.0626804233</v>
      </c>
      <c r="S12" s="16">
        <f>'Truck Diversion (No Build)- Dry'!F55</f>
        <v>2725392.3840000005</v>
      </c>
      <c r="T12" s="16">
        <f t="shared" si="4"/>
        <v>2670723.4747636062</v>
      </c>
      <c r="U12" s="142">
        <f t="shared" si="5"/>
        <v>54668.909236394335</v>
      </c>
      <c r="V12" s="16">
        <f>'Truck Diversion (No Build)- Dry'!Z55-'Barge (Build) - Dry'!AD66</f>
        <v>41240.663172268447</v>
      </c>
      <c r="W12" s="16">
        <f>'Truck Diversion (No Build)- Dry'!V55+'Truck Diversion (No Build)- Dry'!X55</f>
        <v>532690.32960000006</v>
      </c>
      <c r="X12" s="16">
        <f>'Truck Diversion (No Build)- Dry'!S55-'Barge (Build) - Dry'!W66</f>
        <v>492276.00253813923</v>
      </c>
      <c r="Y12" s="142">
        <f>'Barge - Liquid'!$B$63*-0.5</f>
        <v>-38500</v>
      </c>
      <c r="Z12" s="16">
        <f t="shared" si="6"/>
        <v>6478491.7633104082</v>
      </c>
      <c r="AA12" s="8"/>
      <c r="AB12" s="16">
        <v>0</v>
      </c>
      <c r="AD12" s="16">
        <f t="shared" si="0"/>
        <v>8069897.1146228751</v>
      </c>
      <c r="AE12" s="16">
        <f t="shared" si="7"/>
        <v>6865932.8152528601</v>
      </c>
      <c r="AG12" s="61"/>
      <c r="AH12" s="61"/>
      <c r="AI12" s="61"/>
    </row>
    <row r="13" spans="1:53" x14ac:dyDescent="0.25">
      <c r="A13" s="5">
        <f t="shared" si="8"/>
        <v>2036</v>
      </c>
      <c r="B13" s="9"/>
      <c r="C13" s="16">
        <f>'Barge - Liquid'!L82-'Barge - Liquid'!L109</f>
        <v>106691.05194245161</v>
      </c>
      <c r="D13" s="16">
        <f>'Barge - Liquid'!F82-'Barge - Liquid'!F109</f>
        <v>300000</v>
      </c>
      <c r="E13" s="16">
        <f>('Barge - Liquid'!$B$61)*(0.75-0.25)</f>
        <v>19250</v>
      </c>
      <c r="F13" s="142">
        <f>'Barge - Liquid'!$B$63*-0.5</f>
        <v>-38500</v>
      </c>
      <c r="G13" s="16">
        <f t="shared" si="1"/>
        <v>387441.05194245162</v>
      </c>
      <c r="H13" s="8"/>
      <c r="I13" s="16">
        <f>'Truck Diversion (No Build)- Dry'!F31</f>
        <v>2493444.0960000004</v>
      </c>
      <c r="J13" s="16">
        <f>'Rail Diversion (No Build) - Dry'!G48</f>
        <v>339353.04</v>
      </c>
      <c r="K13" s="16">
        <f>'Barge (Build) - Dry'!F67+'Barge (Build) - Dry'!H67</f>
        <v>2670723.4747636062</v>
      </c>
      <c r="L13" s="142">
        <f t="shared" si="2"/>
        <v>162073.6612363942</v>
      </c>
      <c r="M13" s="16">
        <f>('Truck Diversion (No Build)- Dry'!Z31+'Rail Diversion (No Build) - Dry'!Z48)-'Barge (Build) - Dry'!AD67</f>
        <v>41152.836255114729</v>
      </c>
      <c r="N13" s="16">
        <f>'Truck Diversion (No Build)- Dry'!V31+'Truck Diversion (No Build)- Dry'!X31</f>
        <v>487354.98239999998</v>
      </c>
      <c r="O13" s="16">
        <f>('Truck Diversion (No Build)- Dry'!S31+'Rail Diversion (No Build) - Dry'!P48)-'Barge (Build) - Dry'!W67</f>
        <v>1523551.5014177866</v>
      </c>
      <c r="P13" s="142">
        <f>'Barge - Liquid'!$B$63*-0.5</f>
        <v>-38500</v>
      </c>
      <c r="Q13" s="16">
        <f t="shared" si="3"/>
        <v>7679153.5920729022</v>
      </c>
      <c r="S13" s="16">
        <f>'Truck Diversion (No Build)- Dry'!F56</f>
        <v>2725392.3840000005</v>
      </c>
      <c r="T13" s="16">
        <f t="shared" si="4"/>
        <v>2670723.4747636062</v>
      </c>
      <c r="U13" s="142">
        <f t="shared" si="5"/>
        <v>54668.909236394335</v>
      </c>
      <c r="V13" s="16">
        <f>'Truck Diversion (No Build)- Dry'!Z56-'Barge (Build) - Dry'!AD67</f>
        <v>41240.663172268447</v>
      </c>
      <c r="W13" s="16">
        <f>'Truck Diversion (No Build)- Dry'!V56+'Truck Diversion (No Build)- Dry'!X56</f>
        <v>532690.32960000006</v>
      </c>
      <c r="X13" s="16">
        <f>'Truck Diversion (No Build)- Dry'!S56-'Barge (Build) - Dry'!W67</f>
        <v>489026.64381778665</v>
      </c>
      <c r="Y13" s="142">
        <f>'Barge - Liquid'!$B$63*-0.5</f>
        <v>-38500</v>
      </c>
      <c r="Z13" s="16">
        <f t="shared" si="6"/>
        <v>6475242.4045900563</v>
      </c>
      <c r="AA13" s="8"/>
      <c r="AB13" s="16">
        <v>0</v>
      </c>
      <c r="AD13" s="16">
        <f t="shared" si="0"/>
        <v>8066594.6440153541</v>
      </c>
      <c r="AE13" s="16">
        <f t="shared" si="7"/>
        <v>6862683.4565325081</v>
      </c>
      <c r="AG13" s="61"/>
      <c r="AH13" s="61"/>
      <c r="AI13" s="61"/>
    </row>
    <row r="14" spans="1:53" x14ac:dyDescent="0.25">
      <c r="A14" s="5">
        <f t="shared" si="8"/>
        <v>2037</v>
      </c>
      <c r="B14" s="9"/>
      <c r="C14" s="16">
        <f>'Barge - Liquid'!L83-'Barge - Liquid'!L110</f>
        <v>106691.05194245161</v>
      </c>
      <c r="D14" s="16">
        <f>'Barge - Liquid'!F83-'Barge - Liquid'!F110</f>
        <v>300000</v>
      </c>
      <c r="E14" s="16">
        <f>('Barge - Liquid'!$B$61)*(0.75-0.25)</f>
        <v>19250</v>
      </c>
      <c r="F14" s="142">
        <f>'Barge - Liquid'!$B$63*-0.5</f>
        <v>-38500</v>
      </c>
      <c r="G14" s="16">
        <f t="shared" si="1"/>
        <v>387441.05194245162</v>
      </c>
      <c r="H14" s="8"/>
      <c r="I14" s="16">
        <f>'Truck Diversion (No Build)- Dry'!F32</f>
        <v>2493444.0960000004</v>
      </c>
      <c r="J14" s="16">
        <f>'Rail Diversion (No Build) - Dry'!G49</f>
        <v>339353.04</v>
      </c>
      <c r="K14" s="16">
        <f>'Barge (Build) - Dry'!F68+'Barge (Build) - Dry'!H68</f>
        <v>2670723.4747636062</v>
      </c>
      <c r="L14" s="142">
        <f t="shared" si="2"/>
        <v>162073.6612363942</v>
      </c>
      <c r="M14" s="16">
        <f>('Truck Diversion (No Build)- Dry'!Z32+'Rail Diversion (No Build) - Dry'!Z49)-'Barge (Build) - Dry'!AD68</f>
        <v>41101.321330606261</v>
      </c>
      <c r="N14" s="16">
        <f>'Truck Diversion (No Build)- Dry'!V32+'Truck Diversion (No Build)- Dry'!X32</f>
        <v>487354.98239999998</v>
      </c>
      <c r="O14" s="16">
        <f>('Truck Diversion (No Build)- Dry'!S32+'Rail Diversion (No Build) - Dry'!P49)-'Barge (Build) - Dry'!W68</f>
        <v>1520302.1426974339</v>
      </c>
      <c r="P14" s="142">
        <f>'Barge - Liquid'!$B$63*-0.5</f>
        <v>-38500</v>
      </c>
      <c r="Q14" s="16">
        <f t="shared" si="3"/>
        <v>7675852.7184280409</v>
      </c>
      <c r="S14" s="16">
        <f>'Truck Diversion (No Build)- Dry'!F57</f>
        <v>2725392.3840000005</v>
      </c>
      <c r="T14" s="16">
        <f t="shared" si="4"/>
        <v>2670723.4747636062</v>
      </c>
      <c r="U14" s="142">
        <f t="shared" si="5"/>
        <v>54668.909236394335</v>
      </c>
      <c r="V14" s="16">
        <f>'Truck Diversion (No Build)- Dry'!Z57-'Barge (Build) - Dry'!AD68</f>
        <v>41240.663172268447</v>
      </c>
      <c r="W14" s="16">
        <f>'Truck Diversion (No Build)- Dry'!V57+'Truck Diversion (No Build)- Dry'!X57</f>
        <v>532690.32960000006</v>
      </c>
      <c r="X14" s="16">
        <f>'Truck Diversion (No Build)- Dry'!S57-'Barge (Build) - Dry'!W68</f>
        <v>485777.28509743407</v>
      </c>
      <c r="Y14" s="142">
        <f>'Barge - Liquid'!$B$63*-0.5</f>
        <v>-38500</v>
      </c>
      <c r="Z14" s="16">
        <f t="shared" si="6"/>
        <v>6471993.0458697034</v>
      </c>
      <c r="AA14" s="8"/>
      <c r="AB14" s="16">
        <v>0</v>
      </c>
      <c r="AD14" s="16">
        <f t="shared" si="0"/>
        <v>8063293.7703704927</v>
      </c>
      <c r="AE14" s="16">
        <f t="shared" si="7"/>
        <v>6859434.0978121553</v>
      </c>
      <c r="AG14" s="61"/>
      <c r="AH14" s="61"/>
      <c r="AI14" s="61"/>
    </row>
    <row r="15" spans="1:53" x14ac:dyDescent="0.25">
      <c r="A15" s="5">
        <f t="shared" si="8"/>
        <v>2038</v>
      </c>
      <c r="B15" s="9"/>
      <c r="C15" s="16">
        <f>'Barge - Liquid'!L84-'Barge - Liquid'!L111</f>
        <v>106691.05194245161</v>
      </c>
      <c r="D15" s="16">
        <f>'Barge - Liquid'!F84-'Barge - Liquid'!F111</f>
        <v>300000</v>
      </c>
      <c r="E15" s="16">
        <f>('Barge - Liquid'!$B$61)*(0.75-0.25)</f>
        <v>19250</v>
      </c>
      <c r="F15" s="142">
        <f>'Barge - Liquid'!$B$63*-0.5</f>
        <v>-38500</v>
      </c>
      <c r="G15" s="16">
        <f t="shared" si="1"/>
        <v>387441.05194245162</v>
      </c>
      <c r="H15" s="8"/>
      <c r="I15" s="16">
        <f>'Truck Diversion (No Build)- Dry'!F33</f>
        <v>2493444.0960000004</v>
      </c>
      <c r="J15" s="16">
        <f>'Rail Diversion (No Build) - Dry'!G50</f>
        <v>339353.04</v>
      </c>
      <c r="K15" s="16">
        <f>'Barge (Build) - Dry'!F69+'Barge (Build) - Dry'!H69</f>
        <v>2670723.4747636062</v>
      </c>
      <c r="L15" s="142">
        <f t="shared" si="2"/>
        <v>162073.6612363942</v>
      </c>
      <c r="M15" s="16">
        <f>('Truck Diversion (No Build)- Dry'!Z33+'Rail Diversion (No Build) - Dry'!Z50)-'Barge (Build) - Dry'!AD69</f>
        <v>41051.355351451581</v>
      </c>
      <c r="N15" s="16">
        <f>'Truck Diversion (No Build)- Dry'!V33+'Truck Diversion (No Build)- Dry'!X33</f>
        <v>487354.98239999998</v>
      </c>
      <c r="O15" s="16">
        <f>('Truck Diversion (No Build)- Dry'!S33+'Rail Diversion (No Build) - Dry'!P50)-'Barge (Build) - Dry'!W69</f>
        <v>1517865.1236571695</v>
      </c>
      <c r="P15" s="142">
        <f>'Barge - Liquid'!$B$63*-0.5</f>
        <v>-38500</v>
      </c>
      <c r="Q15" s="16">
        <f t="shared" si="3"/>
        <v>7673365.7334086224</v>
      </c>
      <c r="S15" s="16">
        <f>'Truck Diversion (No Build)- Dry'!F58</f>
        <v>2725392.3840000005</v>
      </c>
      <c r="T15" s="16">
        <f t="shared" si="4"/>
        <v>2670723.4747636062</v>
      </c>
      <c r="U15" s="142">
        <f t="shared" si="5"/>
        <v>54668.909236394335</v>
      </c>
      <c r="V15" s="16">
        <f>'Truck Diversion (No Build)- Dry'!Z58-'Barge (Build) - Dry'!AD69</f>
        <v>41240.663172268447</v>
      </c>
      <c r="W15" s="16">
        <f>'Truck Diversion (No Build)- Dry'!V58+'Truck Diversion (No Build)- Dry'!X58</f>
        <v>532690.32960000006</v>
      </c>
      <c r="X15" s="16">
        <f>'Truck Diversion (No Build)- Dry'!S58-'Barge (Build) - Dry'!W69</f>
        <v>483340.26605716965</v>
      </c>
      <c r="Y15" s="142">
        <f>'Barge - Liquid'!$B$63*-0.5</f>
        <v>-38500</v>
      </c>
      <c r="Z15" s="16">
        <f t="shared" si="6"/>
        <v>6469556.0268294392</v>
      </c>
      <c r="AA15" s="8"/>
      <c r="AB15" s="16">
        <v>0</v>
      </c>
      <c r="AD15" s="16">
        <f t="shared" si="0"/>
        <v>8060806.7853510743</v>
      </c>
      <c r="AE15" s="16">
        <f t="shared" si="7"/>
        <v>6856997.0787718911</v>
      </c>
      <c r="AG15" s="61"/>
      <c r="AH15" s="61"/>
      <c r="AI15" s="61"/>
    </row>
    <row r="16" spans="1:53" x14ac:dyDescent="0.25">
      <c r="A16" s="5">
        <f t="shared" si="8"/>
        <v>2039</v>
      </c>
      <c r="B16" s="9"/>
      <c r="C16" s="16">
        <f>'Barge - Liquid'!L85-'Barge - Liquid'!L112</f>
        <v>106691.05194245161</v>
      </c>
      <c r="D16" s="16">
        <f>'Barge - Liquid'!F85-'Barge - Liquid'!F112</f>
        <v>300000</v>
      </c>
      <c r="E16" s="16">
        <f>('Barge - Liquid'!$B$61)*(0.75-0.25)</f>
        <v>19250</v>
      </c>
      <c r="F16" s="142">
        <f>'Barge - Liquid'!$B$63*-0.5</f>
        <v>-38500</v>
      </c>
      <c r="G16" s="16">
        <f t="shared" si="1"/>
        <v>387441.05194245162</v>
      </c>
      <c r="H16" s="8"/>
      <c r="I16" s="16">
        <f>'Truck Diversion (No Build)- Dry'!F34</f>
        <v>2493444.0960000004</v>
      </c>
      <c r="J16" s="16">
        <f>'Rail Diversion (No Build) - Dry'!G51</f>
        <v>339353.04</v>
      </c>
      <c r="K16" s="16">
        <f>'Barge (Build) - Dry'!F70+'Barge (Build) - Dry'!H70</f>
        <v>2670723.4747636062</v>
      </c>
      <c r="L16" s="142">
        <f t="shared" si="2"/>
        <v>162073.6612363942</v>
      </c>
      <c r="M16" s="16">
        <f>('Truck Diversion (No Build)- Dry'!Z34+'Rail Diversion (No Build) - Dry'!Z51)-'Barge (Build) - Dry'!AD70</f>
        <v>41002.891744124056</v>
      </c>
      <c r="N16" s="16">
        <f>'Truck Diversion (No Build)- Dry'!V34+'Truck Diversion (No Build)- Dry'!X34</f>
        <v>487354.98239999998</v>
      </c>
      <c r="O16" s="16">
        <f>('Truck Diversion (No Build)- Dry'!S34+'Rail Diversion (No Build) - Dry'!P51)-'Barge (Build) - Dry'!W70</f>
        <v>1514615.7649368169</v>
      </c>
      <c r="P16" s="142">
        <f>'Barge - Liquid'!$B$63*-0.5</f>
        <v>-38500</v>
      </c>
      <c r="Q16" s="16">
        <f t="shared" si="3"/>
        <v>7670067.9110809416</v>
      </c>
      <c r="S16" s="16">
        <f>'Truck Diversion (No Build)- Dry'!F59</f>
        <v>2725392.3840000005</v>
      </c>
      <c r="T16" s="16">
        <f t="shared" si="4"/>
        <v>2670723.4747636062</v>
      </c>
      <c r="U16" s="142">
        <f t="shared" si="5"/>
        <v>54668.909236394335</v>
      </c>
      <c r="V16" s="16">
        <f>'Truck Diversion (No Build)- Dry'!Z59-'Barge (Build) - Dry'!AD70</f>
        <v>41240.663172268447</v>
      </c>
      <c r="W16" s="16">
        <f>'Truck Diversion (No Build)- Dry'!V59+'Truck Diversion (No Build)- Dry'!X59</f>
        <v>532690.32960000006</v>
      </c>
      <c r="X16" s="16">
        <f>'Truck Diversion (No Build)- Dry'!S59-'Barge (Build) - Dry'!W70</f>
        <v>480090.90733681701</v>
      </c>
      <c r="Y16" s="142">
        <f>'Barge - Liquid'!$B$63*-0.5</f>
        <v>-38500</v>
      </c>
      <c r="Z16" s="16">
        <f t="shared" si="6"/>
        <v>6466306.6681090863</v>
      </c>
      <c r="AA16" s="8"/>
      <c r="AB16" s="16">
        <v>0</v>
      </c>
      <c r="AD16" s="16">
        <f t="shared" si="0"/>
        <v>8057508.9630233934</v>
      </c>
      <c r="AE16" s="16">
        <f t="shared" si="7"/>
        <v>6853747.7200515382</v>
      </c>
      <c r="AG16" s="61"/>
      <c r="AH16" s="61"/>
      <c r="AI16" s="61"/>
    </row>
    <row r="17" spans="1:40" x14ac:dyDescent="0.25">
      <c r="A17" s="5">
        <f t="shared" si="8"/>
        <v>2040</v>
      </c>
      <c r="B17" s="9"/>
      <c r="C17" s="16">
        <f>'Barge - Liquid'!L86-'Barge - Liquid'!L113</f>
        <v>106691.05194245161</v>
      </c>
      <c r="D17" s="16">
        <f>'Barge - Liquid'!F86-'Barge - Liquid'!F113</f>
        <v>300000</v>
      </c>
      <c r="E17" s="16">
        <f>('Barge - Liquid'!$B$61)*(0.75-0.25)</f>
        <v>19250</v>
      </c>
      <c r="F17" s="142">
        <f>'Barge - Liquid'!$B$63*-0.5</f>
        <v>-38500</v>
      </c>
      <c r="G17" s="16">
        <f t="shared" si="1"/>
        <v>387441.05194245162</v>
      </c>
      <c r="H17" s="8"/>
      <c r="I17" s="16">
        <f>'Truck Diversion (No Build)- Dry'!F35</f>
        <v>2493444.0960000004</v>
      </c>
      <c r="J17" s="16">
        <f>'Rail Diversion (No Build) - Dry'!G52</f>
        <v>339353.04</v>
      </c>
      <c r="K17" s="16">
        <f>'Barge (Build) - Dry'!F71+'Barge (Build) - Dry'!H71</f>
        <v>2670723.4747636062</v>
      </c>
      <c r="L17" s="142">
        <f t="shared" si="2"/>
        <v>162073.6612363942</v>
      </c>
      <c r="M17" s="16">
        <f>('Truck Diversion (No Build)- Dry'!Z35+'Rail Diversion (No Build) - Dry'!Z52)-'Barge (Build) - Dry'!AD71</f>
        <v>40955.885335464962</v>
      </c>
      <c r="N17" s="16">
        <f>'Truck Diversion (No Build)- Dry'!V35+'Truck Diversion (No Build)- Dry'!X35</f>
        <v>487354.98239999998</v>
      </c>
      <c r="O17" s="16">
        <f>('Truck Diversion (No Build)- Dry'!S35+'Rail Diversion (No Build) - Dry'!P52)-'Barge (Build) - Dry'!W71</f>
        <v>1511366.4062164642</v>
      </c>
      <c r="P17" s="142">
        <f>'Barge - Liquid'!$B$63*-0.5</f>
        <v>-38500</v>
      </c>
      <c r="Q17" s="16">
        <f t="shared" si="3"/>
        <v>7666771.5459519299</v>
      </c>
      <c r="S17" s="16">
        <f>'Truck Diversion (No Build)- Dry'!F60</f>
        <v>2725392.3840000005</v>
      </c>
      <c r="T17" s="16">
        <f t="shared" si="4"/>
        <v>2670723.4747636062</v>
      </c>
      <c r="U17" s="142">
        <f t="shared" si="5"/>
        <v>54668.909236394335</v>
      </c>
      <c r="V17" s="16">
        <f>'Truck Diversion (No Build)- Dry'!Z60-'Barge (Build) - Dry'!AD71</f>
        <v>41240.663172268447</v>
      </c>
      <c r="W17" s="16">
        <f>'Truck Diversion (No Build)- Dry'!V60+'Truck Diversion (No Build)- Dry'!X60</f>
        <v>532690.32960000006</v>
      </c>
      <c r="X17" s="16">
        <f>'Truck Diversion (No Build)- Dry'!S60-'Barge (Build) - Dry'!W71</f>
        <v>476841.54861646437</v>
      </c>
      <c r="Y17" s="142">
        <f>'Barge - Liquid'!$B$63*-0.5</f>
        <v>-38500</v>
      </c>
      <c r="Z17" s="16">
        <f t="shared" si="6"/>
        <v>6463057.3093887335</v>
      </c>
      <c r="AA17" s="8"/>
      <c r="AB17" s="16">
        <v>0</v>
      </c>
      <c r="AD17" s="16">
        <f t="shared" si="0"/>
        <v>8054212.5978943817</v>
      </c>
      <c r="AE17" s="16">
        <f t="shared" si="7"/>
        <v>6850498.3613311853</v>
      </c>
      <c r="AG17" s="61"/>
      <c r="AH17" s="61"/>
      <c r="AI17" s="61"/>
    </row>
    <row r="18" spans="1:40" x14ac:dyDescent="0.25">
      <c r="A18" s="5">
        <f t="shared" si="8"/>
        <v>2041</v>
      </c>
      <c r="B18" s="9"/>
      <c r="C18" s="16">
        <f>'Barge - Liquid'!L87-'Barge - Liquid'!L114</f>
        <v>106691.05194245161</v>
      </c>
      <c r="D18" s="16">
        <f>'Barge - Liquid'!F87-'Barge - Liquid'!F114</f>
        <v>300000</v>
      </c>
      <c r="E18" s="16">
        <f>('Barge - Liquid'!$B$61)*(0.75-0.25)</f>
        <v>19250</v>
      </c>
      <c r="F18" s="142">
        <f>'Barge - Liquid'!$B$63*-0.5</f>
        <v>-38500</v>
      </c>
      <c r="G18" s="16">
        <f t="shared" si="1"/>
        <v>387441.05194245162</v>
      </c>
      <c r="H18" s="8"/>
      <c r="I18" s="16">
        <f>'Truck Diversion (No Build)- Dry'!F36</f>
        <v>2493444.0960000004</v>
      </c>
      <c r="J18" s="16">
        <f>'Rail Diversion (No Build) - Dry'!G53</f>
        <v>339353.04</v>
      </c>
      <c r="K18" s="16">
        <f>'Barge (Build) - Dry'!F72+'Barge (Build) - Dry'!H72</f>
        <v>2670723.4747636062</v>
      </c>
      <c r="L18" s="142">
        <f t="shared" si="2"/>
        <v>162073.6612363942</v>
      </c>
      <c r="M18" s="16">
        <f>('Truck Diversion (No Build)- Dry'!Z36+'Rail Diversion (No Build) - Dry'!Z53)-'Barge (Build) - Dry'!AD72</f>
        <v>40910.292310577388</v>
      </c>
      <c r="N18" s="16">
        <f>'Truck Diversion (No Build)- Dry'!V36+'Truck Diversion (No Build)- Dry'!X36</f>
        <v>487354.98239999998</v>
      </c>
      <c r="O18" s="16">
        <f>('Truck Diversion (No Build)- Dry'!S36+'Rail Diversion (No Build) - Dry'!P53)-'Barge (Build) - Dry'!W72</f>
        <v>1508117.0474961116</v>
      </c>
      <c r="P18" s="142">
        <f>'Barge - Liquid'!$B$63*-0.5</f>
        <v>-38500</v>
      </c>
      <c r="Q18" s="16">
        <f t="shared" si="3"/>
        <v>7663476.5942066908</v>
      </c>
      <c r="S18" s="16">
        <f>'Truck Diversion (No Build)- Dry'!F61</f>
        <v>2725392.3840000005</v>
      </c>
      <c r="T18" s="16">
        <f t="shared" si="4"/>
        <v>2670723.4747636062</v>
      </c>
      <c r="U18" s="142">
        <f t="shared" si="5"/>
        <v>54668.909236394335</v>
      </c>
      <c r="V18" s="16">
        <f>'Truck Diversion (No Build)- Dry'!Z61-'Barge (Build) - Dry'!AD72</f>
        <v>41240.663172268447</v>
      </c>
      <c r="W18" s="16">
        <f>'Truck Diversion (No Build)- Dry'!V61+'Truck Diversion (No Build)- Dry'!X61</f>
        <v>532690.32960000006</v>
      </c>
      <c r="X18" s="16">
        <f>'Truck Diversion (No Build)- Dry'!S61-'Barge (Build) - Dry'!W72</f>
        <v>473592.18989611184</v>
      </c>
      <c r="Y18" s="142">
        <f>'Barge - Liquid'!$B$63*-0.5</f>
        <v>-38500</v>
      </c>
      <c r="Z18" s="16">
        <f t="shared" si="6"/>
        <v>6459807.9506683815</v>
      </c>
      <c r="AA18" s="8"/>
      <c r="AB18" s="16">
        <v>0</v>
      </c>
      <c r="AD18" s="16">
        <f t="shared" si="0"/>
        <v>8050917.6461491426</v>
      </c>
      <c r="AE18" s="16">
        <f t="shared" si="7"/>
        <v>6847249.0026108334</v>
      </c>
      <c r="AG18" s="61"/>
      <c r="AH18" s="61"/>
      <c r="AI18" s="61"/>
    </row>
    <row r="19" spans="1:40" x14ac:dyDescent="0.25">
      <c r="A19" s="5">
        <f t="shared" si="8"/>
        <v>2042</v>
      </c>
      <c r="B19" s="9"/>
      <c r="C19" s="16">
        <f>'Barge - Liquid'!L88-'Barge - Liquid'!L115</f>
        <v>106691.05194245161</v>
      </c>
      <c r="D19" s="16">
        <f>'Barge - Liquid'!F88-'Barge - Liquid'!F115</f>
        <v>300000</v>
      </c>
      <c r="E19" s="16">
        <f>('Barge - Liquid'!$B$61)*(0.75-0.25)</f>
        <v>19250</v>
      </c>
      <c r="F19" s="142">
        <f>'Barge - Liquid'!$B$63*-0.5</f>
        <v>-38500</v>
      </c>
      <c r="G19" s="16">
        <f t="shared" si="1"/>
        <v>387441.05194245162</v>
      </c>
      <c r="H19" s="8"/>
      <c r="I19" s="16">
        <f>'Truck Diversion (No Build)- Dry'!F37</f>
        <v>2493444.0960000004</v>
      </c>
      <c r="J19" s="16">
        <f>'Rail Diversion (No Build) - Dry'!G54</f>
        <v>339353.04</v>
      </c>
      <c r="K19" s="16">
        <f>'Barge (Build) - Dry'!F73+'Barge (Build) - Dry'!H73</f>
        <v>2670723.4747636062</v>
      </c>
      <c r="L19" s="142">
        <f t="shared" si="2"/>
        <v>162073.6612363942</v>
      </c>
      <c r="M19" s="16">
        <f>('Truck Diversion (No Build)- Dry'!Z37+'Rail Diversion (No Build) - Dry'!Z54)-'Barge (Build) - Dry'!AD73</f>
        <v>40866.070171986139</v>
      </c>
      <c r="N19" s="16">
        <f>'Truck Diversion (No Build)- Dry'!V37+'Truck Diversion (No Build)- Dry'!X37</f>
        <v>487354.98239999998</v>
      </c>
      <c r="O19" s="16">
        <f>('Truck Diversion (No Build)- Dry'!S37+'Rail Diversion (No Build) - Dry'!P54)-'Barge (Build) - Dry'!W73</f>
        <v>1504867.6887757592</v>
      </c>
      <c r="P19" s="142">
        <f>'Barge - Liquid'!$B$63*-0.5</f>
        <v>-38500</v>
      </c>
      <c r="Q19" s="16">
        <f t="shared" si="3"/>
        <v>7660183.0133477459</v>
      </c>
      <c r="S19" s="16">
        <f>'Truck Diversion (No Build)- Dry'!F62</f>
        <v>2725392.3840000005</v>
      </c>
      <c r="T19" s="16">
        <f t="shared" si="4"/>
        <v>2670723.4747636062</v>
      </c>
      <c r="U19" s="142">
        <f t="shared" si="5"/>
        <v>54668.909236394335</v>
      </c>
      <c r="V19" s="16">
        <f>'Truck Diversion (No Build)- Dry'!Z62-'Barge (Build) - Dry'!AD73</f>
        <v>41240.663172268447</v>
      </c>
      <c r="W19" s="16">
        <f>'Truck Diversion (No Build)- Dry'!V62+'Truck Diversion (No Build)- Dry'!X62</f>
        <v>532690.32960000006</v>
      </c>
      <c r="X19" s="16">
        <f>'Truck Diversion (No Build)- Dry'!S62-'Barge (Build) - Dry'!W73</f>
        <v>470342.8311757592</v>
      </c>
      <c r="Y19" s="142">
        <f>'Barge - Liquid'!$B$63*-0.5</f>
        <v>-38500</v>
      </c>
      <c r="Z19" s="16">
        <f t="shared" si="6"/>
        <v>6456558.5919480287</v>
      </c>
      <c r="AA19" s="8"/>
      <c r="AB19" s="16">
        <v>0</v>
      </c>
      <c r="AD19" s="16">
        <f t="shared" si="0"/>
        <v>8047624.0652901977</v>
      </c>
      <c r="AE19" s="16">
        <f t="shared" si="7"/>
        <v>6843999.6438904805</v>
      </c>
      <c r="AG19" s="61"/>
      <c r="AH19" s="61"/>
      <c r="AI19" s="61"/>
    </row>
    <row r="20" spans="1:40" x14ac:dyDescent="0.25">
      <c r="A20" s="5">
        <f t="shared" si="8"/>
        <v>2043</v>
      </c>
      <c r="B20" s="9"/>
      <c r="C20" s="16">
        <f>'Barge - Liquid'!L89-'Barge - Liquid'!L116</f>
        <v>106691.05194245161</v>
      </c>
      <c r="D20" s="16">
        <f>'Barge - Liquid'!F89-'Barge - Liquid'!F116</f>
        <v>300000</v>
      </c>
      <c r="E20" s="16">
        <f>('Barge - Liquid'!$B$61)*(0.75-0.25)</f>
        <v>19250</v>
      </c>
      <c r="F20" s="142">
        <f>'Barge - Liquid'!$B$63*-0.5</f>
        <v>-38500</v>
      </c>
      <c r="G20" s="16">
        <f t="shared" si="1"/>
        <v>387441.05194245162</v>
      </c>
      <c r="H20" s="8"/>
      <c r="I20" s="16">
        <f>'Truck Diversion (No Build)- Dry'!F38</f>
        <v>2493444.0960000004</v>
      </c>
      <c r="J20" s="16">
        <f>'Rail Diversion (No Build) - Dry'!G55</f>
        <v>339353.04</v>
      </c>
      <c r="K20" s="16">
        <f>'Barge (Build) - Dry'!F74+'Barge (Build) - Dry'!H74</f>
        <v>2670723.4747636062</v>
      </c>
      <c r="L20" s="142">
        <f t="shared" si="2"/>
        <v>162073.6612363942</v>
      </c>
      <c r="M20" s="16">
        <f>('Truck Diversion (No Build)- Dry'!Z38+'Rail Diversion (No Build) - Dry'!Z55)-'Barge (Build) - Dry'!AD74</f>
        <v>40823.177700025662</v>
      </c>
      <c r="N20" s="16">
        <f>'Truck Diversion (No Build)- Dry'!V38+'Truck Diversion (No Build)- Dry'!X38</f>
        <v>487354.98239999998</v>
      </c>
      <c r="O20" s="16">
        <f>('Truck Diversion (No Build)- Dry'!S38+'Rail Diversion (No Build) - Dry'!P55)-'Barge (Build) - Dry'!W74</f>
        <v>1501618.3300554065</v>
      </c>
      <c r="P20" s="142">
        <f>'Barge - Liquid'!$B$63*-0.5</f>
        <v>-38500</v>
      </c>
      <c r="Q20" s="16">
        <f t="shared" si="3"/>
        <v>7656890.7621554332</v>
      </c>
      <c r="S20" s="16">
        <f>'Truck Diversion (No Build)- Dry'!F63</f>
        <v>2725392.3840000005</v>
      </c>
      <c r="T20" s="16">
        <f t="shared" si="4"/>
        <v>2670723.4747636062</v>
      </c>
      <c r="U20" s="142">
        <f t="shared" si="5"/>
        <v>54668.909236394335</v>
      </c>
      <c r="V20" s="16">
        <f>'Truck Diversion (No Build)- Dry'!Z63-'Barge (Build) - Dry'!AD74</f>
        <v>41240.663172268447</v>
      </c>
      <c r="W20" s="16">
        <f>'Truck Diversion (No Build)- Dry'!V63+'Truck Diversion (No Build)- Dry'!X63</f>
        <v>532690.32960000006</v>
      </c>
      <c r="X20" s="16">
        <f>'Truck Diversion (No Build)- Dry'!S63-'Barge (Build) - Dry'!W74</f>
        <v>467093.47245540662</v>
      </c>
      <c r="Y20" s="142">
        <f>'Barge - Liquid'!$B$63*-0.5</f>
        <v>-38500</v>
      </c>
      <c r="Z20" s="16">
        <f t="shared" si="6"/>
        <v>6453309.2332276758</v>
      </c>
      <c r="AA20" s="8"/>
      <c r="AB20" s="16">
        <v>0</v>
      </c>
      <c r="AD20" s="16">
        <f t="shared" si="0"/>
        <v>8044331.814097885</v>
      </c>
      <c r="AE20" s="16">
        <f t="shared" si="7"/>
        <v>6840750.2851701276</v>
      </c>
      <c r="AG20" s="61"/>
      <c r="AH20" s="61"/>
      <c r="AI20" s="61"/>
    </row>
    <row r="21" spans="1:40" x14ac:dyDescent="0.25">
      <c r="A21" s="5">
        <f t="shared" si="8"/>
        <v>2044</v>
      </c>
      <c r="B21" s="9"/>
      <c r="C21" s="16">
        <f>'Barge - Liquid'!L90-'Barge - Liquid'!L117</f>
        <v>106691.05194245161</v>
      </c>
      <c r="D21" s="16">
        <f>'Barge - Liquid'!F90-'Barge - Liquid'!F117</f>
        <v>300000</v>
      </c>
      <c r="E21" s="16">
        <f>('Barge - Liquid'!$B$61)*(0.75-0.25)</f>
        <v>19250</v>
      </c>
      <c r="F21" s="142">
        <f>'Barge - Liquid'!$B$63*-0.5</f>
        <v>-38500</v>
      </c>
      <c r="G21" s="16">
        <f t="shared" si="1"/>
        <v>387441.05194245162</v>
      </c>
      <c r="H21" s="8"/>
      <c r="I21" s="16">
        <f>'Truck Diversion (No Build)- Dry'!F39</f>
        <v>2493444.0960000004</v>
      </c>
      <c r="J21" s="16">
        <f>'Rail Diversion (No Build) - Dry'!G56</f>
        <v>339353.04</v>
      </c>
      <c r="K21" s="16">
        <f>'Barge (Build) - Dry'!F75+'Barge (Build) - Dry'!H75</f>
        <v>2670723.4747636062</v>
      </c>
      <c r="L21" s="142">
        <f t="shared" si="2"/>
        <v>162073.6612363942</v>
      </c>
      <c r="M21" s="16">
        <f>('Truck Diversion (No Build)- Dry'!Z39+'Rail Diversion (No Build) - Dry'!Z56)-'Barge (Build) - Dry'!AD75</f>
        <v>40781.574914418998</v>
      </c>
      <c r="N21" s="16">
        <f>'Truck Diversion (No Build)- Dry'!V39+'Truck Diversion (No Build)- Dry'!X39</f>
        <v>487354.98239999998</v>
      </c>
      <c r="O21" s="16">
        <f>('Truck Diversion (No Build)- Dry'!S39+'Rail Diversion (No Build) - Dry'!P56)-'Barge (Build) - Dry'!W75</f>
        <v>1498368.9713350539</v>
      </c>
      <c r="P21" s="142">
        <f>'Barge - Liquid'!$B$63*-0.5</f>
        <v>-38500</v>
      </c>
      <c r="Q21" s="16">
        <f t="shared" si="3"/>
        <v>7653599.8006494734</v>
      </c>
      <c r="S21" s="16">
        <f>'Truck Diversion (No Build)- Dry'!F64</f>
        <v>2725392.3840000005</v>
      </c>
      <c r="T21" s="16">
        <f t="shared" si="4"/>
        <v>2670723.4747636062</v>
      </c>
      <c r="U21" s="142">
        <f t="shared" si="5"/>
        <v>54668.909236394335</v>
      </c>
      <c r="V21" s="16">
        <f>'Truck Diversion (No Build)- Dry'!Z64-'Barge (Build) - Dry'!AD75</f>
        <v>41240.663172268447</v>
      </c>
      <c r="W21" s="16">
        <f>'Truck Diversion (No Build)- Dry'!V64+'Truck Diversion (No Build)- Dry'!X64</f>
        <v>532690.32960000006</v>
      </c>
      <c r="X21" s="16">
        <f>'Truck Diversion (No Build)- Dry'!S64-'Barge (Build) - Dry'!W75</f>
        <v>463844.11373505404</v>
      </c>
      <c r="Y21" s="142">
        <f>'Barge - Liquid'!$B$63*-0.5</f>
        <v>-38500</v>
      </c>
      <c r="Z21" s="16">
        <f t="shared" si="6"/>
        <v>6450059.8745073229</v>
      </c>
      <c r="AA21" s="8"/>
      <c r="AB21" s="16">
        <v>0</v>
      </c>
      <c r="AD21" s="16">
        <f t="shared" si="0"/>
        <v>8041040.8525919253</v>
      </c>
      <c r="AE21" s="16">
        <f t="shared" si="7"/>
        <v>6837500.9264497748</v>
      </c>
      <c r="AG21" s="61"/>
      <c r="AH21" s="61"/>
      <c r="AI21" s="61"/>
    </row>
    <row r="22" spans="1:40" x14ac:dyDescent="0.25">
      <c r="A22" s="5">
        <f t="shared" si="8"/>
        <v>2045</v>
      </c>
      <c r="B22" s="9"/>
      <c r="C22" s="16">
        <f>'Barge - Liquid'!L91-'Barge - Liquid'!L118</f>
        <v>106691.05194245161</v>
      </c>
      <c r="D22" s="16">
        <f>'Barge - Liquid'!F91-'Barge - Liquid'!F118</f>
        <v>300000</v>
      </c>
      <c r="E22" s="16">
        <f>('Barge - Liquid'!$B$61)*(0.75-0.25)</f>
        <v>19250</v>
      </c>
      <c r="F22" s="142">
        <f>'Barge - Liquid'!$B$63*-0.5</f>
        <v>-38500</v>
      </c>
      <c r="G22" s="16">
        <f t="shared" si="1"/>
        <v>387441.05194245162</v>
      </c>
      <c r="H22" s="8"/>
      <c r="I22" s="16">
        <f>'Truck Diversion (No Build)- Dry'!F40</f>
        <v>2493444.0960000004</v>
      </c>
      <c r="J22" s="16">
        <f>'Rail Diversion (No Build) - Dry'!G57</f>
        <v>339353.04</v>
      </c>
      <c r="K22" s="16">
        <f>'Barge (Build) - Dry'!F76+'Barge (Build) - Dry'!H76</f>
        <v>2670723.4747636062</v>
      </c>
      <c r="L22" s="142">
        <f t="shared" si="2"/>
        <v>162073.6612363942</v>
      </c>
      <c r="M22" s="16">
        <f>('Truck Diversion (No Build)- Dry'!Z40+'Rail Diversion (No Build) - Dry'!Z57)-'Barge (Build) - Dry'!AD76</f>
        <v>40741.223037011951</v>
      </c>
      <c r="N22" s="16">
        <f>'Truck Diversion (No Build)- Dry'!V40+'Truck Diversion (No Build)- Dry'!X40</f>
        <v>487354.98239999998</v>
      </c>
      <c r="O22" s="16">
        <f>('Truck Diversion (No Build)- Dry'!S40+'Rail Diversion (No Build) - Dry'!P57)-'Barge (Build) - Dry'!W76</f>
        <v>1495119.6126147013</v>
      </c>
      <c r="P22" s="142">
        <f>'Barge - Liquid'!$B$63*-0.5</f>
        <v>-38500</v>
      </c>
      <c r="Q22" s="16">
        <f t="shared" si="3"/>
        <v>7650310.0900517143</v>
      </c>
      <c r="S22" s="16">
        <f>'Truck Diversion (No Build)- Dry'!F65</f>
        <v>2725392.3840000005</v>
      </c>
      <c r="T22" s="16">
        <f t="shared" si="4"/>
        <v>2670723.4747636062</v>
      </c>
      <c r="U22" s="142">
        <f t="shared" si="5"/>
        <v>54668.909236394335</v>
      </c>
      <c r="V22" s="16">
        <f>'Truck Diversion (No Build)- Dry'!Z65-'Barge (Build) - Dry'!AD76</f>
        <v>41240.663172268447</v>
      </c>
      <c r="W22" s="16">
        <f>'Truck Diversion (No Build)- Dry'!V65+'Truck Diversion (No Build)- Dry'!X65</f>
        <v>532690.32960000006</v>
      </c>
      <c r="X22" s="16">
        <f>'Truck Diversion (No Build)- Dry'!S65-'Barge (Build) - Dry'!W76</f>
        <v>460594.75501470146</v>
      </c>
      <c r="Y22" s="142">
        <f>'Barge - Liquid'!$B$63*-0.5</f>
        <v>-38500</v>
      </c>
      <c r="Z22" s="16">
        <f t="shared" si="6"/>
        <v>6446810.515786971</v>
      </c>
      <c r="AA22" s="8"/>
      <c r="AB22" s="16">
        <v>0</v>
      </c>
      <c r="AD22" s="16">
        <f t="shared" si="0"/>
        <v>8037751.1419941662</v>
      </c>
      <c r="AE22" s="16">
        <f t="shared" si="7"/>
        <v>6834251.5677294228</v>
      </c>
      <c r="AG22" s="61"/>
      <c r="AH22" s="61"/>
      <c r="AI22" s="61"/>
    </row>
    <row r="23" spans="1:40" x14ac:dyDescent="0.25">
      <c r="A23" s="5">
        <f t="shared" si="8"/>
        <v>2046</v>
      </c>
      <c r="B23" s="9"/>
      <c r="C23" s="16">
        <f>'Barge - Liquid'!L92-'Barge - Liquid'!L119</f>
        <v>106691.05194245161</v>
      </c>
      <c r="D23" s="16">
        <f>'Barge - Liquid'!F92-'Barge - Liquid'!F119</f>
        <v>300000</v>
      </c>
      <c r="E23" s="16">
        <f>('Barge - Liquid'!$B$61)*(0.75-0.25)</f>
        <v>19250</v>
      </c>
      <c r="F23" s="142">
        <f>'Barge - Liquid'!$B$63*-0.5</f>
        <v>-38500</v>
      </c>
      <c r="G23" s="16">
        <f t="shared" si="1"/>
        <v>387441.05194245162</v>
      </c>
      <c r="H23" s="8"/>
      <c r="I23" s="16">
        <f>'Truck Diversion (No Build)- Dry'!F41</f>
        <v>2493444.0960000004</v>
      </c>
      <c r="J23" s="16">
        <f>'Rail Diversion (No Build) - Dry'!G58</f>
        <v>339353.04</v>
      </c>
      <c r="K23" s="16">
        <f>'Barge (Build) - Dry'!F77+'Barge (Build) - Dry'!H77</f>
        <v>2670723.4747636062</v>
      </c>
      <c r="L23" s="142">
        <f t="shared" si="2"/>
        <v>162073.6612363942</v>
      </c>
      <c r="M23" s="16">
        <f>('Truck Diversion (No Build)- Dry'!Z41+'Rail Diversion (No Build) - Dry'!Z58)-'Barge (Build) - Dry'!AD77</f>
        <v>40702.08445562781</v>
      </c>
      <c r="N23" s="16">
        <f>'Truck Diversion (No Build)- Dry'!V41+'Truck Diversion (No Build)- Dry'!X41</f>
        <v>487354.98239999998</v>
      </c>
      <c r="O23" s="16">
        <f>('Truck Diversion (No Build)- Dry'!S41+'Rail Diversion (No Build) - Dry'!P58)-'Barge (Build) - Dry'!W77</f>
        <v>1491870.2538943486</v>
      </c>
      <c r="P23" s="142">
        <f>'Barge - Liquid'!$B$63*-0.5</f>
        <v>-38500</v>
      </c>
      <c r="Q23" s="16">
        <f t="shared" si="3"/>
        <v>7647021.5927499775</v>
      </c>
      <c r="S23" s="16">
        <f>'Truck Diversion (No Build)- Dry'!F66</f>
        <v>2725392.3840000005</v>
      </c>
      <c r="T23" s="16">
        <f t="shared" si="4"/>
        <v>2670723.4747636062</v>
      </c>
      <c r="U23" s="142">
        <f t="shared" si="5"/>
        <v>54668.909236394335</v>
      </c>
      <c r="V23" s="16">
        <f>'Truck Diversion (No Build)- Dry'!Z66-'Barge (Build) - Dry'!AD77</f>
        <v>41240.663172268447</v>
      </c>
      <c r="W23" s="16">
        <f>'Truck Diversion (No Build)- Dry'!V66+'Truck Diversion (No Build)- Dry'!X66</f>
        <v>532690.32960000006</v>
      </c>
      <c r="X23" s="16">
        <f>'Truck Diversion (No Build)- Dry'!S66-'Barge (Build) - Dry'!W77</f>
        <v>457345.39629434887</v>
      </c>
      <c r="Y23" s="142">
        <f>'Barge - Liquid'!$B$63*-0.5</f>
        <v>-38500</v>
      </c>
      <c r="Z23" s="16">
        <f t="shared" si="6"/>
        <v>6443561.1570666181</v>
      </c>
      <c r="AA23" s="8"/>
      <c r="AB23" s="16">
        <v>0</v>
      </c>
      <c r="AD23" s="16">
        <f t="shared" si="0"/>
        <v>8034462.6446924293</v>
      </c>
      <c r="AE23" s="16">
        <f t="shared" si="7"/>
        <v>6831002.2090090699</v>
      </c>
      <c r="AG23" s="61"/>
      <c r="AH23" s="61"/>
      <c r="AI23" s="61"/>
    </row>
    <row r="24" spans="1:40" x14ac:dyDescent="0.25">
      <c r="A24" s="5">
        <f t="shared" si="8"/>
        <v>2047</v>
      </c>
      <c r="B24" s="9"/>
      <c r="C24" s="16">
        <f>'Barge - Liquid'!L93-'Barge - Liquid'!L120</f>
        <v>106691.05194245161</v>
      </c>
      <c r="D24" s="16">
        <f>'Barge - Liquid'!F93-'Barge - Liquid'!F120</f>
        <v>300000</v>
      </c>
      <c r="E24" s="16">
        <f>('Barge - Liquid'!$B$61)*(0.75-0.25)</f>
        <v>19250</v>
      </c>
      <c r="F24" s="142">
        <f>'Barge - Liquid'!$B$63*-0.5</f>
        <v>-38500</v>
      </c>
      <c r="G24" s="16">
        <f t="shared" si="1"/>
        <v>387441.05194245162</v>
      </c>
      <c r="H24" s="8"/>
      <c r="I24" s="16">
        <f>'Truck Diversion (No Build)- Dry'!F42</f>
        <v>2493444.0960000004</v>
      </c>
      <c r="J24" s="16">
        <f>'Rail Diversion (No Build) - Dry'!G59</f>
        <v>339353.04</v>
      </c>
      <c r="K24" s="16">
        <f>'Barge (Build) - Dry'!F78+'Barge (Build) - Dry'!H78</f>
        <v>2670723.4747636062</v>
      </c>
      <c r="L24" s="142">
        <f t="shared" si="2"/>
        <v>162073.6612363942</v>
      </c>
      <c r="M24" s="16">
        <f>('Truck Diversion (No Build)- Dry'!Z42+'Rail Diversion (No Build) - Dry'!Z59)-'Barge (Build) - Dry'!AD78</f>
        <v>40664.122689008851</v>
      </c>
      <c r="N24" s="16">
        <f>'Truck Diversion (No Build)- Dry'!V42+'Truck Diversion (No Build)- Dry'!X42</f>
        <v>487354.98239999998</v>
      </c>
      <c r="O24" s="16">
        <f>('Truck Diversion (No Build)- Dry'!S42+'Rail Diversion (No Build) - Dry'!P59)-'Barge (Build) - Dry'!W78</f>
        <v>1487808.555493908</v>
      </c>
      <c r="P24" s="142">
        <f>'Barge - Liquid'!$B$63*-0.5</f>
        <v>-38500</v>
      </c>
      <c r="Q24" s="16">
        <f t="shared" si="3"/>
        <v>7642921.9325829176</v>
      </c>
      <c r="S24" s="16">
        <f>'Truck Diversion (No Build)- Dry'!F67</f>
        <v>2725392.3840000005</v>
      </c>
      <c r="T24" s="16">
        <f t="shared" si="4"/>
        <v>2670723.4747636062</v>
      </c>
      <c r="U24" s="142">
        <f t="shared" si="5"/>
        <v>54668.909236394335</v>
      </c>
      <c r="V24" s="16">
        <f>'Truck Diversion (No Build)- Dry'!Z67-'Barge (Build) - Dry'!AD78</f>
        <v>41240.663172268447</v>
      </c>
      <c r="W24" s="16">
        <f>'Truck Diversion (No Build)- Dry'!V67+'Truck Diversion (No Build)- Dry'!X67</f>
        <v>532690.32960000006</v>
      </c>
      <c r="X24" s="16">
        <f>'Truck Diversion (No Build)- Dry'!S67-'Barge (Build) - Dry'!W78</f>
        <v>453283.69789390813</v>
      </c>
      <c r="Y24" s="142">
        <f>'Barge - Liquid'!$B$63*-0.5</f>
        <v>-38500</v>
      </c>
      <c r="Z24" s="16">
        <f t="shared" si="6"/>
        <v>6439499.4586661775</v>
      </c>
      <c r="AA24" s="8"/>
      <c r="AB24" s="16">
        <f>((50-20)/50)*'Capital Costs'!$B$3</f>
        <v>11332524</v>
      </c>
      <c r="AD24" s="16">
        <f t="shared" si="0"/>
        <v>19362886.984525368</v>
      </c>
      <c r="AE24" s="16">
        <f t="shared" si="7"/>
        <v>18159464.510608628</v>
      </c>
      <c r="AG24" s="61"/>
      <c r="AH24" s="61"/>
      <c r="AI24" s="61"/>
    </row>
    <row r="25" spans="1:40" x14ac:dyDescent="0.25">
      <c r="A25" s="11" t="s">
        <v>44</v>
      </c>
      <c r="B25" s="38"/>
      <c r="C25" s="39">
        <f>SUBTOTAL(9,C5:C24)</f>
        <v>2133821.038849032</v>
      </c>
      <c r="D25" s="39">
        <f t="shared" ref="D25:G25" si="9">SUBTOTAL(9,D5:D24)</f>
        <v>6000000</v>
      </c>
      <c r="E25" s="39">
        <f t="shared" si="9"/>
        <v>385000</v>
      </c>
      <c r="F25" s="143">
        <f t="shared" si="9"/>
        <v>-770000</v>
      </c>
      <c r="G25" s="39">
        <f t="shared" si="9"/>
        <v>7748821.0388490353</v>
      </c>
      <c r="H25" s="40"/>
      <c r="I25" s="39">
        <f t="shared" ref="I25:Q25" si="10">SUBTOTAL(9,I5:I24)</f>
        <v>49868881.920000009</v>
      </c>
      <c r="J25" s="39">
        <f t="shared" si="10"/>
        <v>6787060.7999999998</v>
      </c>
      <c r="K25" s="39">
        <f t="shared" si="10"/>
        <v>53414469.495272145</v>
      </c>
      <c r="L25" s="143">
        <f t="shared" si="10"/>
        <v>3241473.2247278839</v>
      </c>
      <c r="M25" s="39">
        <f t="shared" si="10"/>
        <v>822032.49127419398</v>
      </c>
      <c r="N25" s="39">
        <f t="shared" si="10"/>
        <v>9747099.648</v>
      </c>
      <c r="O25" s="39">
        <f t="shared" si="10"/>
        <v>30371112.247704886</v>
      </c>
      <c r="P25" s="143">
        <f t="shared" ref="P25" si="11">SUBTOTAL(9,P5:P24)</f>
        <v>-770000</v>
      </c>
      <c r="Q25" s="39">
        <f t="shared" si="10"/>
        <v>153482129.82697913</v>
      </c>
      <c r="R25" s="1"/>
      <c r="S25" s="39">
        <f t="shared" ref="S25:X25" si="12">SUBTOTAL(9,S5:S24)</f>
        <v>54507847.680000022</v>
      </c>
      <c r="T25" s="39">
        <f t="shared" si="12"/>
        <v>53414469.495272145</v>
      </c>
      <c r="U25" s="143">
        <f t="shared" si="12"/>
        <v>1093378.1847278867</v>
      </c>
      <c r="V25" s="39">
        <f t="shared" si="12"/>
        <v>824813.26344536874</v>
      </c>
      <c r="W25" s="39">
        <f t="shared" si="12"/>
        <v>10653806.592000002</v>
      </c>
      <c r="X25" s="39">
        <f t="shared" si="12"/>
        <v>9680615.0957048927</v>
      </c>
      <c r="Y25" s="143">
        <f t="shared" ref="Y25" si="13">SUBTOTAL(9,Y5:Y24)</f>
        <v>-770000</v>
      </c>
      <c r="Z25" s="39">
        <f t="shared" ref="Z25" si="14">SUBTOTAL(9,Z5:Z24)</f>
        <v>129404930.31115027</v>
      </c>
      <c r="AA25" s="40"/>
      <c r="AB25" s="39">
        <f t="shared" ref="AB25" si="15">SUBTOTAL(9,AB5:AB24)</f>
        <v>11332524</v>
      </c>
      <c r="AC25" s="1"/>
      <c r="AD25" s="39">
        <f t="shared" si="0"/>
        <v>172563474.86582816</v>
      </c>
      <c r="AE25" s="39">
        <f t="shared" si="7"/>
        <v>148486275.34999931</v>
      </c>
    </row>
    <row r="27" spans="1:40" ht="20.25" thickBot="1" x14ac:dyDescent="0.35">
      <c r="A27" s="19" t="s">
        <v>365</v>
      </c>
    </row>
    <row r="28" spans="1:40" ht="15.75" thickTop="1" x14ac:dyDescent="0.25"/>
    <row r="29" spans="1:40" ht="47.45" customHeight="1" x14ac:dyDescent="0.25">
      <c r="C29" s="168" t="s">
        <v>366</v>
      </c>
      <c r="D29" s="168"/>
      <c r="E29" s="168"/>
      <c r="F29" s="168"/>
      <c r="G29" s="168"/>
      <c r="H29" s="1"/>
      <c r="I29" s="169" t="s">
        <v>368</v>
      </c>
      <c r="J29" s="169"/>
      <c r="K29" s="169"/>
      <c r="L29" s="169"/>
      <c r="M29" s="169"/>
      <c r="N29" s="169"/>
      <c r="O29" s="169"/>
      <c r="P29" s="169"/>
      <c r="Q29" s="169"/>
      <c r="R29" s="141"/>
      <c r="S29" s="169" t="s">
        <v>369</v>
      </c>
      <c r="T29" s="169"/>
      <c r="U29" s="169"/>
      <c r="V29" s="169"/>
      <c r="W29" s="169"/>
      <c r="X29" s="169"/>
      <c r="Y29" s="169"/>
      <c r="Z29" s="169"/>
      <c r="AA29" s="141"/>
      <c r="AB29" s="15" t="s">
        <v>363</v>
      </c>
      <c r="AC29" s="141"/>
      <c r="AD29" s="15" t="s">
        <v>371</v>
      </c>
      <c r="AE29" s="15" t="s">
        <v>372</v>
      </c>
      <c r="AF29" s="140"/>
      <c r="AG29" s="167"/>
      <c r="AH29" s="167"/>
      <c r="AI29" s="1"/>
      <c r="AJ29" s="167"/>
      <c r="AK29" s="167"/>
      <c r="AL29" s="1"/>
      <c r="AM29" s="1"/>
      <c r="AN29" s="1"/>
    </row>
    <row r="30" spans="1:40" s="74" customFormat="1" ht="75" x14ac:dyDescent="0.25">
      <c r="A30" s="15" t="s">
        <v>80</v>
      </c>
      <c r="B30" s="134"/>
      <c r="C30" s="15" t="s">
        <v>342</v>
      </c>
      <c r="D30" s="135" t="s">
        <v>362</v>
      </c>
      <c r="E30" s="135" t="s">
        <v>360</v>
      </c>
      <c r="F30" s="15" t="s">
        <v>347</v>
      </c>
      <c r="G30" s="15" t="s">
        <v>367</v>
      </c>
      <c r="I30" s="145" t="s">
        <v>317</v>
      </c>
      <c r="J30" s="145" t="s">
        <v>377</v>
      </c>
      <c r="K30" s="145" t="s">
        <v>330</v>
      </c>
      <c r="L30" s="15" t="s">
        <v>376</v>
      </c>
      <c r="M30" s="15" t="s">
        <v>353</v>
      </c>
      <c r="N30" s="15" t="s">
        <v>356</v>
      </c>
      <c r="O30" s="15" t="s">
        <v>358</v>
      </c>
      <c r="P30" s="15" t="s">
        <v>347</v>
      </c>
      <c r="Q30" s="15" t="s">
        <v>367</v>
      </c>
      <c r="R30" s="144" t="s">
        <v>373</v>
      </c>
      <c r="S30" s="145" t="s">
        <v>351</v>
      </c>
      <c r="T30" s="145" t="s">
        <v>330</v>
      </c>
      <c r="U30" s="15" t="s">
        <v>376</v>
      </c>
      <c r="V30" s="15" t="s">
        <v>353</v>
      </c>
      <c r="W30" s="15" t="s">
        <v>356</v>
      </c>
      <c r="X30" s="15" t="s">
        <v>358</v>
      </c>
      <c r="Y30" s="15" t="s">
        <v>347</v>
      </c>
      <c r="Z30" s="15" t="s">
        <v>367</v>
      </c>
      <c r="AA30" s="140"/>
      <c r="AB30" s="15" t="s">
        <v>363</v>
      </c>
      <c r="AD30" s="15" t="s">
        <v>367</v>
      </c>
      <c r="AE30" s="15" t="s">
        <v>367</v>
      </c>
    </row>
    <row r="31" spans="1:40" x14ac:dyDescent="0.25">
      <c r="A31" s="5">
        <f>A5</f>
        <v>2028</v>
      </c>
      <c r="B31" s="9"/>
      <c r="C31" s="16">
        <f>'Barge - Liquid'!M74-'Barge - Liquid'!M101</f>
        <v>88833.342910605439</v>
      </c>
      <c r="D31" s="16">
        <f>'Barge - Liquid'!G74-'Barge - Liquid'!G101</f>
        <v>249786.67271512561</v>
      </c>
      <c r="E31" s="16">
        <f>E5*VLOOKUP($A31,NPV!$B$3:$C$44,2,0)</f>
        <v>16027.978165887229</v>
      </c>
      <c r="F31" s="142">
        <f>F5*VLOOKUP($A31,NPV!$B$3:$C$44,2,0)</f>
        <v>-32055.956331774458</v>
      </c>
      <c r="G31" s="16">
        <f>SUM(C31:F31)</f>
        <v>322592.03745984379</v>
      </c>
      <c r="H31" s="149"/>
      <c r="I31" s="16">
        <f>'Truck Diversion (No Build)- Dry'!G23</f>
        <v>2076097.014470048</v>
      </c>
      <c r="J31" s="16">
        <f>'Rail Diversion (No Build) - Dry'!H40</f>
        <v>282552.88912454312</v>
      </c>
      <c r="K31" s="16">
        <f>'Barge (Build) - Dry'!G59+'Barge (Build) - Dry'!I59</f>
        <v>2254412.7524893172</v>
      </c>
      <c r="L31" s="142">
        <f>(I31+J31)-K31</f>
        <v>104237.15110527398</v>
      </c>
      <c r="M31" s="16">
        <f>('Truck Diversion (No Build)- Dry'!AA23+'Rail Diversion (No Build) - Dry'!Z40)-'Barge (Build) - Dry'!AE59</f>
        <v>33452.7001501903</v>
      </c>
      <c r="N31" s="16">
        <f>'Truck Diversion (No Build)- Dry'!W23+'Truck Diversion (No Build)- Dry'!Y23</f>
        <v>405782.59828278207</v>
      </c>
      <c r="O31" s="16">
        <f>('Truck Diversion (No Build)- Dry'!T23+'Rail Diversion (No Build) - Dry'!Q40)-'Barge (Build) - Dry'!X59</f>
        <v>1316258.1209344228</v>
      </c>
      <c r="P31" s="142">
        <f>'Barge - Liquid'!$B$63*-0.5</f>
        <v>-38500</v>
      </c>
      <c r="Q31" s="16">
        <f>SUM(I31:P31)</f>
        <v>6434293.2265565768</v>
      </c>
      <c r="S31" s="16">
        <f>'Truck Diversion (No Build)- Dry'!G48</f>
        <v>2269222.3181416807</v>
      </c>
      <c r="T31" s="16">
        <f>K31</f>
        <v>2254412.7524893172</v>
      </c>
      <c r="U31" s="142">
        <f>S31-T31</f>
        <v>14809.565652363468</v>
      </c>
      <c r="V31" s="16">
        <f>'Truck Diversion (No Build)- Dry'!AA48-'Barge (Build) - Dry'!AE59</f>
        <v>34337.893447887174</v>
      </c>
      <c r="W31" s="16">
        <f>'Truck Diversion (No Build)- Dry'!W48+'Truck Diversion (No Build)- Dry'!Y48</f>
        <v>443529.81672769209</v>
      </c>
      <c r="X31" s="16">
        <f>'Truck Diversion (No Build)- Dry'!T48-'Barge (Build) - Dry'!X59</f>
        <v>451160.60123848054</v>
      </c>
      <c r="Y31" s="142">
        <f>'Barge - Liquid'!$B$63*-0.5</f>
        <v>-38500</v>
      </c>
      <c r="Z31" s="16">
        <f>SUM(S31:Y31)</f>
        <v>5428972.9476974206</v>
      </c>
      <c r="AA31" s="8"/>
      <c r="AB31" s="16">
        <v>0</v>
      </c>
      <c r="AD31" s="16">
        <f t="shared" ref="AD31:AD51" si="16">SUM(G31,Q31,AB31)</f>
        <v>6756885.2640164206</v>
      </c>
      <c r="AE31" s="16">
        <f>SUM(G31,Z31,AB31)</f>
        <v>5751564.9851572644</v>
      </c>
    </row>
    <row r="32" spans="1:40" x14ac:dyDescent="0.25">
      <c r="A32" s="5">
        <f>A31+1</f>
        <v>2029</v>
      </c>
      <c r="B32" s="9"/>
      <c r="C32" s="16">
        <f>'Barge - Liquid'!M75-'Barge - Liquid'!M102</f>
        <v>86162.311261498966</v>
      </c>
      <c r="D32" s="16">
        <f>'Barge - Liquid'!G75-'Barge - Liquid'!G102</f>
        <v>242276.11320574745</v>
      </c>
      <c r="E32" s="16">
        <f>E6*VLOOKUP($A32,NPV!$B$3:$C$44,2,0)</f>
        <v>15546.0505973688</v>
      </c>
      <c r="F32" s="142">
        <f>F6*VLOOKUP($A32,NPV!$B$3:$C$44,2,0)</f>
        <v>-31092.101194737599</v>
      </c>
      <c r="G32" s="16">
        <f t="shared" ref="G32:G50" si="17">SUM(C32:F32)</f>
        <v>312892.3738698776</v>
      </c>
      <c r="H32" s="149"/>
      <c r="I32" s="16">
        <f>'Truck Diversion (No Build)- Dry'!G24</f>
        <v>2013673.1469156628</v>
      </c>
      <c r="J32" s="16">
        <f>'Rail Diversion (No Build) - Dry'!H41</f>
        <v>274057.11845251522</v>
      </c>
      <c r="K32" s="16">
        <f>'Barge (Build) - Dry'!G60+'Barge (Build) - Dry'!I60</f>
        <v>2192143.8963289903</v>
      </c>
      <c r="L32" s="142">
        <f t="shared" ref="L32:L50" si="18">(I32+J32)-K32</f>
        <v>95586.369039187673</v>
      </c>
      <c r="M32" s="16">
        <f>('Truck Diversion (No Build)- Dry'!AA24+'Rail Diversion (No Build) - Dry'!Z41)-'Barge (Build) - Dry'!AE60</f>
        <v>32446.847866333956</v>
      </c>
      <c r="N32" s="16">
        <f>'Truck Diversion (No Build)- Dry'!W24+'Truck Diversion (No Build)- Dry'!Y24</f>
        <v>393581.56962442497</v>
      </c>
      <c r="O32" s="16">
        <f>('Truck Diversion (No Build)- Dry'!T24+'Rail Diversion (No Build) - Dry'!Q41)-'Barge (Build) - Dry'!X60</f>
        <v>1279275.0211563855</v>
      </c>
      <c r="P32" s="142">
        <f>'Barge - Liquid'!$B$63*-0.5</f>
        <v>-38500</v>
      </c>
      <c r="Q32" s="16">
        <f t="shared" ref="Q32:Q50" si="19">SUM(I32:P32)</f>
        <v>6242263.9693834996</v>
      </c>
      <c r="S32" s="16">
        <f>'Truck Diversion (No Build)- Dry'!G49</f>
        <v>2200991.5791868875</v>
      </c>
      <c r="T32" s="16">
        <f t="shared" ref="T32:T50" si="20">K32</f>
        <v>2192143.8963289903</v>
      </c>
      <c r="U32" s="142">
        <f t="shared" ref="U32:U50" si="21">S32-T32</f>
        <v>8847.6828578971326</v>
      </c>
      <c r="V32" s="16">
        <f>'Truck Diversion (No Build)- Dry'!AA49-'Barge (Build) - Dry'!AE60</f>
        <v>33305.425264682039</v>
      </c>
      <c r="W32" s="16">
        <f>'Truck Diversion (No Build)- Dry'!W49+'Truck Diversion (No Build)- Dry'!Y49</f>
        <v>430193.80865925521</v>
      </c>
      <c r="X32" s="16">
        <f>'Truck Diversion (No Build)- Dry'!T49-'Barge (Build) - Dry'!X60</f>
        <v>439563.37470158841</v>
      </c>
      <c r="Y32" s="142">
        <f>'Barge - Liquid'!$B$63*-0.5</f>
        <v>-38500</v>
      </c>
      <c r="Z32" s="16">
        <f t="shared" ref="Z32:Z50" si="22">SUM(S32:Y32)</f>
        <v>5266545.7669993006</v>
      </c>
      <c r="AA32" s="8"/>
      <c r="AB32" s="16">
        <v>0</v>
      </c>
      <c r="AD32" s="16">
        <f t="shared" si="16"/>
        <v>6555156.3432533769</v>
      </c>
      <c r="AE32" s="16">
        <f t="shared" ref="AE32:AE51" si="23">SUM(G32,Z32,AB32)</f>
        <v>5579438.1408691779</v>
      </c>
    </row>
    <row r="33" spans="1:31" x14ac:dyDescent="0.25">
      <c r="A33" s="5">
        <f t="shared" ref="A33:A50" si="24">A32+1</f>
        <v>2030</v>
      </c>
      <c r="B33" s="9"/>
      <c r="C33" s="16">
        <f>'Barge - Liquid'!M76-'Barge - Liquid'!M103</f>
        <v>83571.591912220159</v>
      </c>
      <c r="D33" s="16">
        <f>'Barge - Liquid'!G76-'Barge - Liquid'!G103</f>
        <v>234991.38041294622</v>
      </c>
      <c r="E33" s="16">
        <f>E7*VLOOKUP($A33,NPV!$B$3:$C$44,2,0)</f>
        <v>15078.613576497381</v>
      </c>
      <c r="F33" s="142">
        <f>F7*VLOOKUP($A33,NPV!$B$3:$C$44,2,0)</f>
        <v>-30157.227152994761</v>
      </c>
      <c r="G33" s="16">
        <f t="shared" si="17"/>
        <v>303484.35874866898</v>
      </c>
      <c r="H33" s="149"/>
      <c r="I33" s="16">
        <f>'Truck Diversion (No Build)- Dry'!G25</f>
        <v>1953126.2336718359</v>
      </c>
      <c r="J33" s="16">
        <f>'Rail Diversion (No Build) - Dry'!H42</f>
        <v>265816.79772309912</v>
      </c>
      <c r="K33" s="16">
        <f>'Barge (Build) - Dry'!G61+'Barge (Build) - Dry'!I61</f>
        <v>2131747.3336128634</v>
      </c>
      <c r="L33" s="142">
        <f t="shared" si="18"/>
        <v>87195.697782071773</v>
      </c>
      <c r="M33" s="16">
        <f>('Truck Diversion (No Build)- Dry'!AA25+'Rail Diversion (No Build) - Dry'!Z42)-'Barge (Build) - Dry'!AE61</f>
        <v>31471.239443582886</v>
      </c>
      <c r="N33" s="16">
        <f>'Truck Diversion (No Build)- Dry'!W25+'Truck Diversion (No Build)- Dry'!Y25</f>
        <v>381747.400217677</v>
      </c>
      <c r="O33" s="16">
        <f>('Truck Diversion (No Build)- Dry'!T25+'Rail Diversion (No Build) - Dry'!Q42)-'Barge (Build) - Dry'!X61</f>
        <v>1242637.5465314498</v>
      </c>
      <c r="P33" s="142">
        <f>'Barge - Liquid'!$B$63*-0.5</f>
        <v>-38500</v>
      </c>
      <c r="Q33" s="16">
        <f t="shared" si="19"/>
        <v>6055242.2489825804</v>
      </c>
      <c r="S33" s="16">
        <f>'Truck Diversion (No Build)- Dry'!G50</f>
        <v>2134812.394943635</v>
      </c>
      <c r="T33" s="16">
        <f t="shared" si="20"/>
        <v>2131747.3336128634</v>
      </c>
      <c r="U33" s="142">
        <f t="shared" si="21"/>
        <v>3065.0613307715394</v>
      </c>
      <c r="V33" s="16">
        <f>'Truck Diversion (No Build)- Dry'!AA50-'Barge (Build) - Dry'!AE61</f>
        <v>32304.001226655713</v>
      </c>
      <c r="W33" s="16">
        <f>'Truck Diversion (No Build)- Dry'!W50+'Truck Diversion (No Build)- Dry'!Y50</f>
        <v>417258.78628443764</v>
      </c>
      <c r="X33" s="16">
        <f>'Truck Diversion (No Build)- Dry'!T50-'Barge (Build) - Dry'!X61</f>
        <v>427560.74390041723</v>
      </c>
      <c r="Y33" s="142">
        <f>'Barge - Liquid'!$B$63*-0.5</f>
        <v>-38500</v>
      </c>
      <c r="Z33" s="16">
        <f t="shared" si="22"/>
        <v>5108248.3212987809</v>
      </c>
      <c r="AA33" s="8"/>
      <c r="AB33" s="16">
        <v>0</v>
      </c>
      <c r="AD33" s="16">
        <f t="shared" si="16"/>
        <v>6358726.6077312492</v>
      </c>
      <c r="AE33" s="16">
        <f t="shared" si="23"/>
        <v>5411732.6800474497</v>
      </c>
    </row>
    <row r="34" spans="1:31" x14ac:dyDescent="0.25">
      <c r="A34" s="5">
        <f t="shared" si="24"/>
        <v>2031</v>
      </c>
      <c r="B34" s="9"/>
      <c r="C34" s="16">
        <f>'Barge - Liquid'!M77-'Barge - Liquid'!M104</f>
        <v>81058.770040950694</v>
      </c>
      <c r="D34" s="16">
        <f>'Barge - Liquid'!G77-'Barge - Liquid'!G104</f>
        <v>227925.6842026636</v>
      </c>
      <c r="E34" s="16">
        <f>E8*VLOOKUP($A34,NPV!$B$3:$C$44,2,0)</f>
        <v>14625.231403004251</v>
      </c>
      <c r="F34" s="142">
        <f>F8*VLOOKUP($A34,NPV!$B$3:$C$44,2,0)</f>
        <v>-29250.462806008502</v>
      </c>
      <c r="G34" s="16">
        <f t="shared" si="17"/>
        <v>294359.22284061002</v>
      </c>
      <c r="H34" s="149"/>
      <c r="I34" s="16">
        <f>'Truck Diversion (No Build)- Dry'!G26</f>
        <v>1894399.8386729739</v>
      </c>
      <c r="J34" s="16">
        <f>'Rail Diversion (No Build) - Dry'!H43</f>
        <v>257824.2460941796</v>
      </c>
      <c r="K34" s="16">
        <f>'Barge (Build) - Dry'!G62+'Barge (Build) - Dry'!I62</f>
        <v>2073166.7684177842</v>
      </c>
      <c r="L34" s="142">
        <f t="shared" si="18"/>
        <v>79057.316349369241</v>
      </c>
      <c r="M34" s="16">
        <f>('Truck Diversion (No Build)- Dry'!AA26+'Rail Diversion (No Build) - Dry'!Z43)-'Barge (Build) - Dry'!AE62</f>
        <v>30524.965512689516</v>
      </c>
      <c r="N34" s="16">
        <f>'Truck Diversion (No Build)- Dry'!W26+'Truck Diversion (No Build)- Dry'!Y26</f>
        <v>370269.05937699031</v>
      </c>
      <c r="O34" s="16">
        <f>('Truck Diversion (No Build)- Dry'!T26+'Rail Diversion (No Build) - Dry'!Q43)-'Barge (Build) - Dry'!X62</f>
        <v>1207036.8388956415</v>
      </c>
      <c r="P34" s="142">
        <f>'Barge - Liquid'!$B$63*-0.5</f>
        <v>-38500</v>
      </c>
      <c r="Q34" s="16">
        <f t="shared" si="19"/>
        <v>5873779.0333196279</v>
      </c>
      <c r="S34" s="16">
        <f>'Truck Diversion (No Build)- Dry'!G51</f>
        <v>2070623.0794797624</v>
      </c>
      <c r="T34" s="16">
        <f t="shared" si="20"/>
        <v>2073166.7684177842</v>
      </c>
      <c r="U34" s="142">
        <f t="shared" si="21"/>
        <v>-2543.6889380218927</v>
      </c>
      <c r="V34" s="16">
        <f>'Truck Diversion (No Build)- Dry'!AA51-'Barge (Build) - Dry'!AE62</f>
        <v>31332.687901702928</v>
      </c>
      <c r="W34" s="16">
        <f>'Truck Diversion (No Build)- Dry'!W51+'Truck Diversion (No Build)- Dry'!Y51</f>
        <v>404712.69280740805</v>
      </c>
      <c r="X34" s="16">
        <f>'Truck Diversion (No Build)- Dry'!T51-'Barge (Build) - Dry'!X62</f>
        <v>415866.19194954773</v>
      </c>
      <c r="Y34" s="142">
        <f>'Barge - Liquid'!$B$63*-0.5</f>
        <v>-38500</v>
      </c>
      <c r="Z34" s="16">
        <f t="shared" si="22"/>
        <v>4954657.7316181827</v>
      </c>
      <c r="AA34" s="8"/>
      <c r="AB34" s="16">
        <v>0</v>
      </c>
      <c r="AD34" s="16">
        <f t="shared" si="16"/>
        <v>6168138.2561602378</v>
      </c>
      <c r="AE34" s="16">
        <f t="shared" si="23"/>
        <v>5249016.9544587927</v>
      </c>
    </row>
    <row r="35" spans="1:31" x14ac:dyDescent="0.25">
      <c r="A35" s="5">
        <f t="shared" si="24"/>
        <v>2032</v>
      </c>
      <c r="B35" s="9"/>
      <c r="C35" s="16">
        <f>'Barge - Liquid'!M78-'Barge - Liquid'!M105</f>
        <v>78621.503434481754</v>
      </c>
      <c r="D35" s="16">
        <f>'Barge - Liquid'!G78-'Barge - Liquid'!G105</f>
        <v>221072.4386058813</v>
      </c>
      <c r="E35" s="16">
        <f>E9*VLOOKUP($A35,NPV!$B$3:$C$44,2,0)</f>
        <v>14185.481477210718</v>
      </c>
      <c r="F35" s="142">
        <f>F9*VLOOKUP($A35,NPV!$B$3:$C$44,2,0)</f>
        <v>-28370.962954421437</v>
      </c>
      <c r="G35" s="16">
        <f t="shared" si="17"/>
        <v>285508.46056315233</v>
      </c>
      <c r="H35" s="149"/>
      <c r="I35" s="16">
        <f>'Truck Diversion (No Build)- Dry'!G27</f>
        <v>1837439.2227671912</v>
      </c>
      <c r="J35" s="16">
        <f>'Rail Diversion (No Build) - Dry'!H44</f>
        <v>250072.01367039728</v>
      </c>
      <c r="K35" s="16">
        <f>'Barge (Build) - Dry'!G63+'Barge (Build) - Dry'!I63</f>
        <v>2016347.59752052</v>
      </c>
      <c r="L35" s="142">
        <f t="shared" si="18"/>
        <v>71163.638917068485</v>
      </c>
      <c r="M35" s="16">
        <f>('Truck Diversion (No Build)- Dry'!AA27+'Rail Diversion (No Build) - Dry'!Z44)-'Barge (Build) - Dry'!AE63</f>
        <v>29607.144047225524</v>
      </c>
      <c r="N35" s="16">
        <f>'Truck Diversion (No Build)- Dry'!W27+'Truck Diversion (No Build)- Dry'!Y27</f>
        <v>359135.84808631463</v>
      </c>
      <c r="O35" s="16">
        <f>('Truck Diversion (No Build)- Dry'!T27+'Rail Diversion (No Build) - Dry'!Q44)-'Barge (Build) - Dry'!X63</f>
        <v>1173109.9665895824</v>
      </c>
      <c r="P35" s="142">
        <f>'Barge - Liquid'!$B$63*-0.5</f>
        <v>-38500</v>
      </c>
      <c r="Q35" s="16">
        <f t="shared" si="19"/>
        <v>5698375.4315982992</v>
      </c>
      <c r="S35" s="16">
        <f>'Truck Diversion (No Build)- Dry'!G52</f>
        <v>2008363.8016292555</v>
      </c>
      <c r="T35" s="16">
        <f t="shared" si="20"/>
        <v>2016347.59752052</v>
      </c>
      <c r="U35" s="142">
        <f t="shared" si="21"/>
        <v>-7983.7958912644535</v>
      </c>
      <c r="V35" s="16">
        <f>'Truck Diversion (No Build)- Dry'!AA52-'Barge (Build) - Dry'!AE63</f>
        <v>30390.579924057158</v>
      </c>
      <c r="W35" s="16">
        <f>'Truck Diversion (No Build)- Dry'!W52+'Truck Diversion (No Build)- Dry'!Y52</f>
        <v>392543.833954809</v>
      </c>
      <c r="X35" s="16">
        <f>'Truck Diversion (No Build)- Dry'!T52-'Barge (Build) - Dry'!X63</f>
        <v>405138.46143048955</v>
      </c>
      <c r="Y35" s="142">
        <f>'Barge - Liquid'!$B$63*-0.5</f>
        <v>-38500</v>
      </c>
      <c r="Z35" s="16">
        <f t="shared" si="22"/>
        <v>4806300.4785678666</v>
      </c>
      <c r="AA35" s="8"/>
      <c r="AB35" s="16">
        <v>0</v>
      </c>
      <c r="AD35" s="16">
        <f t="shared" si="16"/>
        <v>5983883.8921614513</v>
      </c>
      <c r="AE35" s="16">
        <f t="shared" si="23"/>
        <v>5091808.9391310187</v>
      </c>
    </row>
    <row r="36" spans="1:31" x14ac:dyDescent="0.25">
      <c r="A36" s="5">
        <f t="shared" si="24"/>
        <v>2033</v>
      </c>
      <c r="B36" s="9"/>
      <c r="C36" s="16">
        <f>'Barge - Liquid'!M79-'Barge - Liquid'!M106</f>
        <v>76257.520305025959</v>
      </c>
      <c r="D36" s="16">
        <f>'Barge - Liquid'!G79-'Barge - Liquid'!G106</f>
        <v>214425.25567980739</v>
      </c>
      <c r="E36" s="16">
        <f>E10*VLOOKUP($A36,NPV!$B$3:$C$44,2,0)</f>
        <v>13758.953906120971</v>
      </c>
      <c r="F36" s="142">
        <f>F10*VLOOKUP($A36,NPV!$B$3:$C$44,2,0)</f>
        <v>-27517.907812241941</v>
      </c>
      <c r="G36" s="16">
        <f t="shared" si="17"/>
        <v>276923.8220787124</v>
      </c>
      <c r="H36" s="149"/>
      <c r="I36" s="16">
        <f>'Truck Diversion (No Build)- Dry'!G28</f>
        <v>1782191.2926936871</v>
      </c>
      <c r="J36" s="16">
        <f>'Rail Diversion (No Build) - Dry'!H45</f>
        <v>242552.87455906626</v>
      </c>
      <c r="K36" s="16">
        <f>'Barge (Build) - Dry'!G64+'Barge (Build) - Dry'!I64</f>
        <v>1961236.8595018352</v>
      </c>
      <c r="L36" s="142">
        <f t="shared" si="18"/>
        <v>63507.307750918204</v>
      </c>
      <c r="M36" s="16">
        <f>('Truck Diversion (No Build)- Dry'!AA28+'Rail Diversion (No Build) - Dry'!Z45)-'Barge (Build) - Dry'!AE64</f>
        <v>28716.91954144086</v>
      </c>
      <c r="N36" s="16">
        <f>'Truck Diversion (No Build)- Dry'!W28+'Truck Diversion (No Build)- Dry'!Y28</f>
        <v>348337.38902649336</v>
      </c>
      <c r="O36" s="16">
        <f>('Truck Diversion (No Build)- Dry'!T28+'Rail Diversion (No Build) - Dry'!Q45)-'Barge (Build) - Dry'!X64</f>
        <v>1139482.5615808752</v>
      </c>
      <c r="P36" s="142">
        <f>'Barge - Liquid'!$B$63*-0.5</f>
        <v>-38500</v>
      </c>
      <c r="Q36" s="16">
        <f t="shared" si="19"/>
        <v>5527525.2046543164</v>
      </c>
      <c r="S36" s="16">
        <f>'Truck Diversion (No Build)- Dry'!G53</f>
        <v>1947976.5292233324</v>
      </c>
      <c r="T36" s="16">
        <f t="shared" si="20"/>
        <v>1961236.8595018352</v>
      </c>
      <c r="U36" s="142">
        <f t="shared" si="21"/>
        <v>-13260.330278502777</v>
      </c>
      <c r="V36" s="16">
        <f>'Truck Diversion (No Build)- Dry'!AA53-'Barge (Build) - Dry'!AE64</f>
        <v>29476.799150394916</v>
      </c>
      <c r="W36" s="16">
        <f>'Truck Diversion (No Build)- Dry'!W53+'Truck Diversion (No Build)- Dry'!Y53</f>
        <v>380740.86707546946</v>
      </c>
      <c r="X36" s="16">
        <f>'Truck Diversion (No Build)- Dry'!T53-'Barge (Build) - Dry'!X64</f>
        <v>394024.21147798083</v>
      </c>
      <c r="Y36" s="142">
        <f>'Barge - Liquid'!$B$63*-0.5</f>
        <v>-38500</v>
      </c>
      <c r="Z36" s="16">
        <f t="shared" si="22"/>
        <v>4661694.9361505099</v>
      </c>
      <c r="AA36" s="8"/>
      <c r="AB36" s="16">
        <v>0</v>
      </c>
      <c r="AD36" s="16">
        <f t="shared" si="16"/>
        <v>5804449.0267330287</v>
      </c>
      <c r="AE36" s="16">
        <f t="shared" si="23"/>
        <v>4938618.7582292221</v>
      </c>
    </row>
    <row r="37" spans="1:31" x14ac:dyDescent="0.25">
      <c r="A37" s="5">
        <f t="shared" si="24"/>
        <v>2034</v>
      </c>
      <c r="B37" s="9"/>
      <c r="C37" s="16">
        <f>'Barge - Liquid'!M80-'Barge - Liquid'!M107</f>
        <v>73964.617172673097</v>
      </c>
      <c r="D37" s="16">
        <f>'Barge - Liquid'!G80-'Barge - Liquid'!G107</f>
        <v>207977.93955364428</v>
      </c>
      <c r="E37" s="16">
        <f>E11*VLOOKUP($A37,NPV!$B$3:$C$44,2,0)</f>
        <v>13345.251121358846</v>
      </c>
      <c r="F37" s="142">
        <f>F11*VLOOKUP($A37,NPV!$B$3:$C$44,2,0)</f>
        <v>-26690.502242717692</v>
      </c>
      <c r="G37" s="16">
        <f t="shared" si="17"/>
        <v>268597.3056049585</v>
      </c>
      <c r="H37" s="149"/>
      <c r="I37" s="16">
        <f>'Truck Diversion (No Build)- Dry'!G29</f>
        <v>1728604.5515942648</v>
      </c>
      <c r="J37" s="16">
        <f>'Rail Diversion (No Build) - Dry'!H46</f>
        <v>235259.82013488482</v>
      </c>
      <c r="K37" s="16">
        <f>'Barge (Build) - Dry'!G65+'Barge (Build) - Dry'!I65</f>
        <v>1907783.1853808991</v>
      </c>
      <c r="L37" s="142">
        <f t="shared" si="18"/>
        <v>56081.186348250601</v>
      </c>
      <c r="M37" s="16">
        <f>('Truck Diversion (No Build)- Dry'!AA29+'Rail Diversion (No Build) - Dry'!Z46)-'Barge (Build) - Dry'!AE65</f>
        <v>27853.462212842733</v>
      </c>
      <c r="N37" s="16">
        <f>'Truck Diversion (No Build)- Dry'!W29+'Truck Diversion (No Build)- Dry'!Y29</f>
        <v>337863.61690251535</v>
      </c>
      <c r="O37" s="16">
        <f>('Truck Diversion (No Build)- Dry'!T29+'Rail Diversion (No Build) - Dry'!Q46)-'Barge (Build) - Dry'!X65</f>
        <v>1106806.6606592473</v>
      </c>
      <c r="P37" s="142">
        <f>'Barge - Liquid'!$B$63*-0.5</f>
        <v>-38500</v>
      </c>
      <c r="Q37" s="16">
        <f t="shared" si="19"/>
        <v>5361752.4832329052</v>
      </c>
      <c r="S37" s="16">
        <f>'Truck Diversion (No Build)- Dry'!G54</f>
        <v>1889404.9749983826</v>
      </c>
      <c r="T37" s="16">
        <f t="shared" si="20"/>
        <v>1907783.1853808991</v>
      </c>
      <c r="U37" s="142">
        <f t="shared" si="21"/>
        <v>-18378.210382516496</v>
      </c>
      <c r="V37" s="16">
        <f>'Truck Diversion (No Build)- Dry'!AA54-'Barge (Build) - Dry'!AE65</f>
        <v>28590.493841314175</v>
      </c>
      <c r="W37" s="16">
        <f>'Truck Diversion (No Build)- Dry'!W54+'Truck Diversion (No Build)- Dry'!Y54</f>
        <v>369292.7905678656</v>
      </c>
      <c r="X37" s="16">
        <f>'Truck Diversion (No Build)- Dry'!T54-'Barge (Build) - Dry'!X65</f>
        <v>383195.87834059267</v>
      </c>
      <c r="Y37" s="142">
        <f>'Barge - Liquid'!$B$63*-0.5</f>
        <v>-38500</v>
      </c>
      <c r="Z37" s="16">
        <f t="shared" si="22"/>
        <v>4521389.1127465377</v>
      </c>
      <c r="AA37" s="8"/>
      <c r="AB37" s="16">
        <v>0</v>
      </c>
      <c r="AD37" s="16">
        <f t="shared" si="16"/>
        <v>5630349.7888378641</v>
      </c>
      <c r="AE37" s="16">
        <f t="shared" si="23"/>
        <v>4789986.4183514966</v>
      </c>
    </row>
    <row r="38" spans="1:31" x14ac:dyDescent="0.25">
      <c r="A38" s="5">
        <f t="shared" si="24"/>
        <v>2035</v>
      </c>
      <c r="B38" s="9"/>
      <c r="C38" s="16">
        <f>'Barge - Liquid'!M81-'Barge - Liquid'!M108</f>
        <v>71740.656811516106</v>
      </c>
      <c r="D38" s="16">
        <f>'Barge - Liquid'!G81-'Barge - Liquid'!G108</f>
        <v>201724.48065338912</v>
      </c>
      <c r="E38" s="16">
        <f>E12*VLOOKUP($A38,NPV!$B$3:$C$44,2,0)</f>
        <v>12943.98750859248</v>
      </c>
      <c r="F38" s="142">
        <f>F12*VLOOKUP($A38,NPV!$B$3:$C$44,2,0)</f>
        <v>-25887.975017184959</v>
      </c>
      <c r="G38" s="16">
        <f t="shared" si="17"/>
        <v>260521.14995631273</v>
      </c>
      <c r="H38" s="149"/>
      <c r="I38" s="16">
        <f>'Truck Diversion (No Build)- Dry'!G30</f>
        <v>1676629.051012866</v>
      </c>
      <c r="J38" s="16">
        <f>'Rail Diversion (No Build) - Dry'!H47</f>
        <v>228186.05250716279</v>
      </c>
      <c r="K38" s="16">
        <f>'Barge (Build) - Dry'!G66+'Barge (Build) - Dry'!I66</f>
        <v>1855936.7507340163</v>
      </c>
      <c r="L38" s="142">
        <f t="shared" si="18"/>
        <v>48878.35278601246</v>
      </c>
      <c r="M38" s="16">
        <f>('Truck Diversion (No Build)- Dry'!AA30+'Rail Diversion (No Build) - Dry'!Z47)-'Barge (Build) - Dry'!AE66</f>
        <v>27015.96722875144</v>
      </c>
      <c r="N38" s="16">
        <f>'Truck Diversion (No Build)- Dry'!W30+'Truck Diversion (No Build)- Dry'!Y30</f>
        <v>327704.76906160556</v>
      </c>
      <c r="O38" s="16">
        <f>('Truck Diversion (No Build)- Dry'!T30+'Rail Diversion (No Build) - Dry'!Q47)-'Barge (Build) - Dry'!X66</f>
        <v>1075683.3237380637</v>
      </c>
      <c r="P38" s="142">
        <f>'Barge - Liquid'!$B$63*-0.5</f>
        <v>-38500</v>
      </c>
      <c r="Q38" s="16">
        <f t="shared" si="19"/>
        <v>5201534.2670684783</v>
      </c>
      <c r="S38" s="16">
        <f>'Truck Diversion (No Build)- Dry'!G55</f>
        <v>1832594.5441303421</v>
      </c>
      <c r="T38" s="16">
        <f t="shared" si="20"/>
        <v>1855936.7507340163</v>
      </c>
      <c r="U38" s="142">
        <f t="shared" si="21"/>
        <v>-23342.206603674218</v>
      </c>
      <c r="V38" s="16">
        <f>'Truck Diversion (No Build)- Dry'!AA55-'Barge (Build) - Dry'!AE66</f>
        <v>27730.83786742403</v>
      </c>
      <c r="W38" s="16">
        <f>'Truck Diversion (No Build)- Dry'!W55+'Truck Diversion (No Build)- Dry'!Y55</f>
        <v>358188.93362547591</v>
      </c>
      <c r="X38" s="16">
        <f>'Truck Diversion (No Build)- Dry'!T55-'Barge (Build) - Dry'!X66</f>
        <v>373274.31246719958</v>
      </c>
      <c r="Y38" s="142">
        <f>'Barge - Liquid'!$B$63*-0.5</f>
        <v>-38500</v>
      </c>
      <c r="Z38" s="16">
        <f t="shared" si="22"/>
        <v>4385883.1722207833</v>
      </c>
      <c r="AA38" s="8"/>
      <c r="AB38" s="16">
        <v>0</v>
      </c>
      <c r="AD38" s="16">
        <f t="shared" si="16"/>
        <v>5462055.4170247912</v>
      </c>
      <c r="AE38" s="16">
        <f t="shared" si="23"/>
        <v>4646404.3221770963</v>
      </c>
    </row>
    <row r="39" spans="1:31" x14ac:dyDescent="0.25">
      <c r="A39" s="5">
        <f t="shared" si="24"/>
        <v>2036</v>
      </c>
      <c r="B39" s="9"/>
      <c r="C39" s="16">
        <f>'Barge - Liquid'!M82-'Barge - Liquid'!M109</f>
        <v>69583.566257532599</v>
      </c>
      <c r="D39" s="16">
        <f>'Barge - Liquid'!G82-'Barge - Liquid'!G109</f>
        <v>195659.05010028067</v>
      </c>
      <c r="E39" s="16">
        <f>E13*VLOOKUP($A39,NPV!$B$3:$C$44,2,0)</f>
        <v>12554.78904810134</v>
      </c>
      <c r="F39" s="142">
        <f>F13*VLOOKUP($A39,NPV!$B$3:$C$44,2,0)</f>
        <v>-25109.57809620268</v>
      </c>
      <c r="G39" s="16">
        <f t="shared" si="17"/>
        <v>252687.82730971189</v>
      </c>
      <c r="H39" s="149"/>
      <c r="I39" s="16">
        <f>'Truck Diversion (No Build)- Dry'!G31</f>
        <v>1626216.3443383765</v>
      </c>
      <c r="J39" s="16">
        <f>'Rail Diversion (No Build) - Dry'!H48</f>
        <v>221324.97818347509</v>
      </c>
      <c r="K39" s="16">
        <f>'Barge (Build) - Dry'!G67+'Barge (Build) - Dry'!I67</f>
        <v>1805649.2292530439</v>
      </c>
      <c r="L39" s="142">
        <f t="shared" si="18"/>
        <v>41892.093268807745</v>
      </c>
      <c r="M39" s="16">
        <f>('Truck Diversion (No Build)- Dry'!AA31+'Rail Diversion (No Build) - Dry'!Z48)-'Barge (Build) - Dry'!AE67</f>
        <v>26203.653956111972</v>
      </c>
      <c r="N39" s="16">
        <f>'Truck Diversion (No Build)- Dry'!W31+'Truck Diversion (No Build)- Dry'!Y31</f>
        <v>317851.37639340997</v>
      </c>
      <c r="O39" s="16">
        <f>('Truck Diversion (No Build)- Dry'!T31+'Rail Diversion (No Build) - Dry'!Q48)-'Barge (Build) - Dry'!X67</f>
        <v>1044818.1677542997</v>
      </c>
      <c r="P39" s="142">
        <f>'Barge - Liquid'!$B$63*-0.5</f>
        <v>-38500</v>
      </c>
      <c r="Q39" s="16">
        <f t="shared" si="19"/>
        <v>5045455.8431475256</v>
      </c>
      <c r="S39" s="16">
        <f>'Truck Diversion (No Build)- Dry'!G56</f>
        <v>1777492.2833465978</v>
      </c>
      <c r="T39" s="16">
        <f t="shared" si="20"/>
        <v>1805649.2292530439</v>
      </c>
      <c r="U39" s="142">
        <f t="shared" si="21"/>
        <v>-28156.945906446083</v>
      </c>
      <c r="V39" s="16">
        <f>'Truck Diversion (No Build)- Dry'!AA56-'Barge (Build) - Dry'!AE67</f>
        <v>26897.029939305565</v>
      </c>
      <c r="W39" s="16">
        <f>'Truck Diversion (No Build)- Dry'!W56+'Truck Diversion (No Build)- Dry'!Y56</f>
        <v>347418.9462904713</v>
      </c>
      <c r="X39" s="16">
        <f>'Truck Diversion (No Build)- Dry'!T56-'Barge (Build) - Dry'!X67</f>
        <v>362984.33062882849</v>
      </c>
      <c r="Y39" s="142">
        <f>'Barge - Liquid'!$B$63*-0.5</f>
        <v>-38500</v>
      </c>
      <c r="Z39" s="16">
        <f t="shared" si="22"/>
        <v>4253784.8735517999</v>
      </c>
      <c r="AA39" s="8"/>
      <c r="AB39" s="16">
        <v>0</v>
      </c>
      <c r="AD39" s="16">
        <f t="shared" si="16"/>
        <v>5298143.6704572374</v>
      </c>
      <c r="AE39" s="16">
        <f t="shared" si="23"/>
        <v>4506472.7008615118</v>
      </c>
    </row>
    <row r="40" spans="1:31" x14ac:dyDescent="0.25">
      <c r="A40" s="5">
        <f t="shared" si="24"/>
        <v>2037</v>
      </c>
      <c r="B40" s="9"/>
      <c r="C40" s="16">
        <f>'Barge - Liquid'!M83-'Barge - Liquid'!M110</f>
        <v>67491.334876365276</v>
      </c>
      <c r="D40" s="16">
        <f>'Barge - Liquid'!G83-'Barge - Liquid'!G110</f>
        <v>189775.99427767284</v>
      </c>
      <c r="E40" s="16">
        <f>E14*VLOOKUP($A40,NPV!$B$3:$C$44,2,0)</f>
        <v>12177.29296615067</v>
      </c>
      <c r="F40" s="142">
        <f>F14*VLOOKUP($A40,NPV!$B$3:$C$44,2,0)</f>
        <v>-24354.585932301339</v>
      </c>
      <c r="G40" s="16">
        <f t="shared" si="17"/>
        <v>245090.03618788745</v>
      </c>
      <c r="H40" s="149"/>
      <c r="I40" s="16">
        <f>'Truck Diversion (No Build)- Dry'!G32</f>
        <v>1577319.44164731</v>
      </c>
      <c r="J40" s="16">
        <f>'Rail Diversion (No Build) - Dry'!H49</f>
        <v>214670.2019238362</v>
      </c>
      <c r="K40" s="16">
        <f>'Barge (Build) - Dry'!G68+'Barge (Build) - Dry'!I68</f>
        <v>1756873.7477002093</v>
      </c>
      <c r="L40" s="142">
        <f t="shared" si="18"/>
        <v>35115.895870937034</v>
      </c>
      <c r="M40" s="16">
        <f>('Truck Diversion (No Build)- Dry'!AA32+'Rail Diversion (No Build) - Dry'!Z49)-'Barge (Build) - Dry'!AE68</f>
        <v>25415.765233862247</v>
      </c>
      <c r="N40" s="16">
        <f>'Truck Diversion (No Build)- Dry'!W32+'Truck Diversion (No Build)- Dry'!Y32</f>
        <v>308294.25450379238</v>
      </c>
      <c r="O40" s="16">
        <f>('Truck Diversion (No Build)- Dry'!T32+'Rail Diversion (No Build) - Dry'!Q49)-'Barge (Build) - Dry'!X68</f>
        <v>1014826.315246937</v>
      </c>
      <c r="P40" s="142">
        <f>'Barge - Liquid'!$B$63*-0.5</f>
        <v>-38500</v>
      </c>
      <c r="Q40" s="16">
        <f t="shared" si="19"/>
        <v>4894015.6221268838</v>
      </c>
      <c r="S40" s="16">
        <f>'Truck Diversion (No Build)- Dry'!G57</f>
        <v>1724046.8315679901</v>
      </c>
      <c r="T40" s="16">
        <f t="shared" si="20"/>
        <v>1756873.7477002093</v>
      </c>
      <c r="U40" s="142">
        <f t="shared" si="21"/>
        <v>-32826.916132219136</v>
      </c>
      <c r="V40" s="16">
        <f>'Truck Diversion (No Build)- Dry'!AA57-'Barge (Build) - Dry'!AE68</f>
        <v>26088.292860626156</v>
      </c>
      <c r="W40" s="16">
        <f>'Truck Diversion (No Build)- Dry'!W57+'Truck Diversion (No Build)- Dry'!Y57</f>
        <v>336972.7898064708</v>
      </c>
      <c r="X40" s="16">
        <f>'Truck Diversion (No Build)- Dry'!T57-'Barge (Build) - Dry'!X68</f>
        <v>352959.68217274954</v>
      </c>
      <c r="Y40" s="142">
        <f>'Barge - Liquid'!$B$63*-0.5</f>
        <v>-38500</v>
      </c>
      <c r="Z40" s="16">
        <f t="shared" si="22"/>
        <v>4125614.4279758269</v>
      </c>
      <c r="AA40" s="8"/>
      <c r="AB40" s="16">
        <v>0</v>
      </c>
      <c r="AD40" s="16">
        <f t="shared" si="16"/>
        <v>5139105.658314771</v>
      </c>
      <c r="AE40" s="16">
        <f t="shared" si="23"/>
        <v>4370704.4641637141</v>
      </c>
    </row>
    <row r="41" spans="1:31" x14ac:dyDescent="0.25">
      <c r="A41" s="5">
        <f t="shared" si="24"/>
        <v>2038</v>
      </c>
      <c r="B41" s="9"/>
      <c r="C41" s="16">
        <f>'Barge - Liquid'!M84-'Barge - Liquid'!M111</f>
        <v>65462.012489200075</v>
      </c>
      <c r="D41" s="16">
        <f>'Barge - Liquid'!G84-'Barge - Liquid'!G111</f>
        <v>184069.82956127333</v>
      </c>
      <c r="E41" s="16">
        <f>E15*VLOOKUP($A41,NPV!$B$3:$C$44,2,0)</f>
        <v>11811.147396848368</v>
      </c>
      <c r="F41" s="142">
        <f>F15*VLOOKUP($A41,NPV!$B$3:$C$44,2,0)</f>
        <v>-23622.294793696736</v>
      </c>
      <c r="G41" s="16">
        <f t="shared" si="17"/>
        <v>237720.69465362505</v>
      </c>
      <c r="H41" s="149"/>
      <c r="I41" s="16">
        <f>'Truck Diversion (No Build)- Dry'!G33</f>
        <v>1529892.7659042773</v>
      </c>
      <c r="J41" s="16">
        <f>'Rail Diversion (No Build) - Dry'!H50</f>
        <v>208215.52077966649</v>
      </c>
      <c r="K41" s="16">
        <f>'Barge (Build) - Dry'!G69+'Barge (Build) - Dry'!I69</f>
        <v>1709564.8422173434</v>
      </c>
      <c r="L41" s="142">
        <f t="shared" si="18"/>
        <v>28543.444466600427</v>
      </c>
      <c r="M41" s="16">
        <f>('Truck Diversion (No Build)- Dry'!AA33+'Rail Diversion (No Build) - Dry'!Z50)-'Barge (Build) - Dry'!AE69</f>
        <v>24651.566667179675</v>
      </c>
      <c r="N41" s="16">
        <f>'Truck Diversion (No Build)- Dry'!W33+'Truck Diversion (No Build)- Dry'!Y33</f>
        <v>299024.49515401782</v>
      </c>
      <c r="O41" s="16">
        <f>('Truck Diversion (No Build)- Dry'!T33+'Rail Diversion (No Build) - Dry'!Q50)-'Barge (Build) - Dry'!X69</f>
        <v>986274.83180303033</v>
      </c>
      <c r="P41" s="142">
        <f>'Barge - Liquid'!$B$63*-0.5</f>
        <v>-38500</v>
      </c>
      <c r="Q41" s="16">
        <f t="shared" si="19"/>
        <v>4747667.4669921147</v>
      </c>
      <c r="S41" s="16">
        <f>'Truck Diversion (No Build)- Dry'!G58</f>
        <v>1672208.3720349078</v>
      </c>
      <c r="T41" s="16">
        <f t="shared" si="20"/>
        <v>1709564.8422173434</v>
      </c>
      <c r="U41" s="142">
        <f t="shared" si="21"/>
        <v>-37356.470182435587</v>
      </c>
      <c r="V41" s="16">
        <f>'Truck Diversion (No Build)- Dry'!AA58-'Barge (Build) - Dry'!AE69</f>
        <v>25303.87280371111</v>
      </c>
      <c r="W41" s="16">
        <f>'Truck Diversion (No Build)- Dry'!W58+'Truck Diversion (No Build)- Dry'!Y58</f>
        <v>326840.72726136836</v>
      </c>
      <c r="X41" s="16">
        <f>'Truck Diversion (No Build)- Dry'!T58-'Barge (Build) - Dry'!X69</f>
        <v>343785.50361443823</v>
      </c>
      <c r="Y41" s="142">
        <f>'Barge - Liquid'!$B$63*-0.5</f>
        <v>-38500</v>
      </c>
      <c r="Z41" s="16">
        <f t="shared" si="22"/>
        <v>4001846.8477493334</v>
      </c>
      <c r="AA41" s="8"/>
      <c r="AB41" s="16">
        <v>0</v>
      </c>
      <c r="AD41" s="16">
        <f t="shared" si="16"/>
        <v>4985388.1616457393</v>
      </c>
      <c r="AE41" s="16">
        <f t="shared" si="23"/>
        <v>4239567.5424029585</v>
      </c>
    </row>
    <row r="42" spans="1:31" x14ac:dyDescent="0.25">
      <c r="A42" s="5">
        <f t="shared" si="24"/>
        <v>2039</v>
      </c>
      <c r="B42" s="9"/>
      <c r="C42" s="16">
        <f>'Barge - Liquid'!M85-'Barge - Liquid'!M112</f>
        <v>63493.707554995213</v>
      </c>
      <c r="D42" s="16">
        <f>'Barge - Liquid'!G85-'Barge - Liquid'!G112</f>
        <v>178535.23720783053</v>
      </c>
      <c r="E42" s="16">
        <f>E16*VLOOKUP($A42,NPV!$B$3:$C$44,2,0)</f>
        <v>11456.011054169127</v>
      </c>
      <c r="F42" s="142">
        <f>F16*VLOOKUP($A42,NPV!$B$3:$C$44,2,0)</f>
        <v>-22912.022108338253</v>
      </c>
      <c r="G42" s="16">
        <f t="shared" si="17"/>
        <v>230572.93370865661</v>
      </c>
      <c r="H42" s="149"/>
      <c r="I42" s="16">
        <f>'Truck Diversion (No Build)- Dry'!G34</f>
        <v>1483892.1104794154</v>
      </c>
      <c r="J42" s="16">
        <f>'Rail Diversion (No Build) - Dry'!H51</f>
        <v>201954.91831199467</v>
      </c>
      <c r="K42" s="16">
        <f>'Barge (Build) - Dry'!G70+'Barge (Build) - Dry'!I70</f>
        <v>1663678.4159488024</v>
      </c>
      <c r="L42" s="142">
        <f t="shared" si="18"/>
        <v>22168.612842607778</v>
      </c>
      <c r="M42" s="16">
        <f>('Truck Diversion (No Build)- Dry'!AA34+'Rail Diversion (No Build) - Dry'!Z51)-'Barge (Build) - Dry'!AE70</f>
        <v>23910.345942948275</v>
      </c>
      <c r="N42" s="16">
        <f>'Truck Diversion (No Build)- Dry'!W34+'Truck Diversion (No Build)- Dry'!Y34</f>
        <v>290033.45795734023</v>
      </c>
      <c r="O42" s="16">
        <f>('Truck Diversion (No Build)- Dry'!T34+'Rail Diversion (No Build) - Dry'!Q51)-'Barge (Build) - Dry'!X70</f>
        <v>957944.64505590487</v>
      </c>
      <c r="P42" s="142">
        <f>'Barge - Liquid'!$B$63*-0.5</f>
        <v>-38500</v>
      </c>
      <c r="Q42" s="16">
        <f t="shared" si="19"/>
        <v>4605082.5065390142</v>
      </c>
      <c r="S42" s="16">
        <f>'Truck Diversion (No Build)- Dry'!G59</f>
        <v>1621928.5858728494</v>
      </c>
      <c r="T42" s="16">
        <f t="shared" si="20"/>
        <v>1663678.4159488024</v>
      </c>
      <c r="U42" s="142">
        <f t="shared" si="21"/>
        <v>-41749.830075952923</v>
      </c>
      <c r="V42" s="16">
        <f>'Truck Diversion (No Build)- Dry'!AA59-'Barge (Build) - Dry'!AE70</f>
        <v>24543.038606897291</v>
      </c>
      <c r="W42" s="16">
        <f>'Truck Diversion (No Build)- Dry'!W59+'Truck Diversion (No Build)- Dry'!Y59</f>
        <v>317013.31451151147</v>
      </c>
      <c r="X42" s="16">
        <f>'Truck Diversion (No Build)- Dry'!T59-'Barge (Build) - Dry'!X70</f>
        <v>334260.25426777313</v>
      </c>
      <c r="Y42" s="142">
        <f>'Barge - Liquid'!$B$63*-0.5</f>
        <v>-38500</v>
      </c>
      <c r="Z42" s="16">
        <f t="shared" si="22"/>
        <v>3881173.779131881</v>
      </c>
      <c r="AA42" s="8"/>
      <c r="AB42" s="16">
        <v>0</v>
      </c>
      <c r="AD42" s="16">
        <f t="shared" si="16"/>
        <v>4835655.4402476707</v>
      </c>
      <c r="AE42" s="16">
        <f t="shared" si="23"/>
        <v>4111746.7128405375</v>
      </c>
    </row>
    <row r="43" spans="1:31" x14ac:dyDescent="0.25">
      <c r="A43" s="5">
        <f t="shared" si="24"/>
        <v>2040</v>
      </c>
      <c r="B43" s="9"/>
      <c r="C43" s="16">
        <f>'Barge - Liquid'!M86-'Barge - Liquid'!M113</f>
        <v>61584.58540736686</v>
      </c>
      <c r="D43" s="16">
        <f>'Barge - Liquid'!G86-'Barge - Liquid'!G113</f>
        <v>173167.05839750788</v>
      </c>
      <c r="E43" s="16">
        <f>E17*VLOOKUP($A43,NPV!$B$3:$C$44,2,0)</f>
        <v>11111.552913840085</v>
      </c>
      <c r="F43" s="142">
        <f>F17*VLOOKUP($A43,NPV!$B$3:$C$44,2,0)</f>
        <v>-22223.10582768017</v>
      </c>
      <c r="G43" s="16">
        <f t="shared" si="17"/>
        <v>223640.09089103463</v>
      </c>
      <c r="H43" s="149"/>
      <c r="I43" s="16">
        <f>'Truck Diversion (No Build)- Dry'!G35</f>
        <v>1439274.5979431772</v>
      </c>
      <c r="J43" s="16">
        <f>'Rail Diversion (No Build) - Dry'!H52</f>
        <v>195882.55898350602</v>
      </c>
      <c r="K43" s="16">
        <f>'Barge (Build) - Dry'!G71+'Barge (Build) - Dry'!I71</f>
        <v>1619171.6979385784</v>
      </c>
      <c r="L43" s="142">
        <f t="shared" si="18"/>
        <v>15985.458988104714</v>
      </c>
      <c r="M43" s="16">
        <f>('Truck Diversion (No Build)- Dry'!AA35+'Rail Diversion (No Build) - Dry'!Z52)-'Barge (Build) - Dry'!AE71</f>
        <v>23191.412165808226</v>
      </c>
      <c r="N43" s="16">
        <f>'Truck Diversion (No Build)- Dry'!W35+'Truck Diversion (No Build)- Dry'!Y35</f>
        <v>281312.7623252573</v>
      </c>
      <c r="O43" s="16">
        <f>('Truck Diversion (No Build)- Dry'!T35+'Rail Diversion (No Build) - Dry'!Q52)-'Barge (Build) - Dry'!X71</f>
        <v>930416.03329413605</v>
      </c>
      <c r="P43" s="142">
        <f>'Barge - Liquid'!$B$63*-0.5</f>
        <v>-38500</v>
      </c>
      <c r="Q43" s="16">
        <f t="shared" si="19"/>
        <v>4466734.5216385676</v>
      </c>
      <c r="S43" s="16">
        <f>'Truck Diversion (No Build)- Dry'!G60</f>
        <v>1573160.6070541705</v>
      </c>
      <c r="T43" s="16">
        <f t="shared" si="20"/>
        <v>1619171.6979385784</v>
      </c>
      <c r="U43" s="142">
        <f t="shared" si="21"/>
        <v>-46011.090884407982</v>
      </c>
      <c r="V43" s="16">
        <f>'Truck Diversion (No Build)- Dry'!AA60-'Barge (Build) - Dry'!AE71</f>
        <v>23805.081093013865</v>
      </c>
      <c r="W43" s="16">
        <f>'Truck Diversion (No Build)- Dry'!W60+'Truck Diversion (No Build)- Dry'!Y60</f>
        <v>307481.39137876965</v>
      </c>
      <c r="X43" s="16">
        <f>'Truck Diversion (No Build)- Dry'!T60-'Barge (Build) - Dry'!X71</f>
        <v>324981.22098753683</v>
      </c>
      <c r="Y43" s="142">
        <f>'Barge - Liquid'!$B$63*-0.5</f>
        <v>-38500</v>
      </c>
      <c r="Z43" s="16">
        <f t="shared" si="22"/>
        <v>3764088.9075676613</v>
      </c>
      <c r="AA43" s="8"/>
      <c r="AB43" s="16">
        <v>0</v>
      </c>
      <c r="AD43" s="16">
        <f t="shared" si="16"/>
        <v>4690374.6125296019</v>
      </c>
      <c r="AE43" s="16">
        <f t="shared" si="23"/>
        <v>3987728.9984586961</v>
      </c>
    </row>
    <row r="44" spans="1:31" x14ac:dyDescent="0.25">
      <c r="A44" s="5">
        <f t="shared" si="24"/>
        <v>2041</v>
      </c>
      <c r="B44" s="9"/>
      <c r="C44" s="16">
        <f>'Barge - Liquid'!M87-'Barge - Liquid'!M114</f>
        <v>59732.866544487741</v>
      </c>
      <c r="D44" s="16">
        <f>'Barge - Liquid'!G87-'Barge - Liquid'!G114</f>
        <v>167960.28942532267</v>
      </c>
      <c r="E44" s="16">
        <f>E18*VLOOKUP($A44,NPV!$B$3:$C$44,2,0)</f>
        <v>10777.451904791547</v>
      </c>
      <c r="F44" s="142">
        <f>F18*VLOOKUP($A44,NPV!$B$3:$C$44,2,0)</f>
        <v>-21554.903809583095</v>
      </c>
      <c r="G44" s="16">
        <f t="shared" si="17"/>
        <v>216915.70406501886</v>
      </c>
      <c r="H44" s="149"/>
      <c r="I44" s="16">
        <f>'Truck Diversion (No Build)- Dry'!G36</f>
        <v>1395998.6401000749</v>
      </c>
      <c r="J44" s="16">
        <f>'Rail Diversion (No Build) - Dry'!H53</f>
        <v>189992.78271921052</v>
      </c>
      <c r="K44" s="16">
        <f>'Barge (Build) - Dry'!G72+'Barge (Build) - Dry'!I72</f>
        <v>1576003.2032632884</v>
      </c>
      <c r="L44" s="142">
        <f t="shared" si="18"/>
        <v>9988.2195559970569</v>
      </c>
      <c r="M44" s="16">
        <f>('Truck Diversion (No Build)- Dry'!AA36+'Rail Diversion (No Build) - Dry'!Z53)-'Barge (Build) - Dry'!AE72</f>
        <v>22494.095214168989</v>
      </c>
      <c r="N44" s="16">
        <f>'Truck Diversion (No Build)- Dry'!W36+'Truck Diversion (No Build)- Dry'!Y36</f>
        <v>272854.27965592372</v>
      </c>
      <c r="O44" s="16">
        <f>('Truck Diversion (No Build)- Dry'!T36+'Rail Diversion (No Build) - Dry'!Q53)-'Barge (Build) - Dry'!X72</f>
        <v>903666.35616638232</v>
      </c>
      <c r="P44" s="142">
        <f>'Barge - Liquid'!$B$63*-0.5</f>
        <v>-38500</v>
      </c>
      <c r="Q44" s="16">
        <f t="shared" si="19"/>
        <v>4332497.5766750462</v>
      </c>
      <c r="S44" s="16">
        <f>'Truck Diversion (No Build)- Dry'!G61</f>
        <v>1525858.9787140356</v>
      </c>
      <c r="T44" s="16">
        <f t="shared" si="20"/>
        <v>1576003.2032632884</v>
      </c>
      <c r="U44" s="142">
        <f t="shared" si="21"/>
        <v>-50144.224549252773</v>
      </c>
      <c r="V44" s="16">
        <f>'Truck Diversion (No Build)- Dry'!AA61-'Barge (Build) - Dry'!AE72</f>
        <v>23089.312408354865</v>
      </c>
      <c r="W44" s="16">
        <f>'Truck Diversion (No Build)- Dry'!W61+'Truck Diversion (No Build)- Dry'!Y61</f>
        <v>298236.07311228872</v>
      </c>
      <c r="X44" s="16">
        <f>'Truck Diversion (No Build)- Dry'!T61-'Barge (Build) - Dry'!X72</f>
        <v>315942.26452424587</v>
      </c>
      <c r="Y44" s="142">
        <f>'Barge - Liquid'!$B$63*-0.5</f>
        <v>-38500</v>
      </c>
      <c r="Z44" s="16">
        <f t="shared" si="22"/>
        <v>3650485.6074729608</v>
      </c>
      <c r="AA44" s="8"/>
      <c r="AB44" s="16">
        <v>0</v>
      </c>
      <c r="AD44" s="16">
        <f t="shared" si="16"/>
        <v>4549413.2807400655</v>
      </c>
      <c r="AE44" s="16">
        <f t="shared" si="23"/>
        <v>3867401.3115379796</v>
      </c>
    </row>
    <row r="45" spans="1:31" x14ac:dyDescent="0.25">
      <c r="A45" s="5">
        <f t="shared" si="24"/>
        <v>2042</v>
      </c>
      <c r="B45" s="9"/>
      <c r="C45" s="16">
        <f>'Barge - Liquid'!M88-'Barge - Liquid'!M115</f>
        <v>57936.824970405192</v>
      </c>
      <c r="D45" s="16">
        <f>'Barge - Liquid'!G88-'Barge - Liquid'!G115</f>
        <v>162910.07703717041</v>
      </c>
      <c r="E45" s="16">
        <f>E19*VLOOKUP($A45,NPV!$B$3:$C$44,2,0)</f>
        <v>10453.396609885111</v>
      </c>
      <c r="F45" s="142">
        <f>F19*VLOOKUP($A45,NPV!$B$3:$C$44,2,0)</f>
        <v>-20906.793219770221</v>
      </c>
      <c r="G45" s="16">
        <f t="shared" si="17"/>
        <v>210393.50539769052</v>
      </c>
      <c r="H45" s="149"/>
      <c r="I45" s="16">
        <f>'Truck Diversion (No Build)- Dry'!G37</f>
        <v>1354023.8992241272</v>
      </c>
      <c r="J45" s="16">
        <f>'Rail Diversion (No Build) - Dry'!H54</f>
        <v>184280.09963066006</v>
      </c>
      <c r="K45" s="16">
        <f>'Barge (Build) - Dry'!G73+'Barge (Build) - Dry'!I73</f>
        <v>1534132.69436388</v>
      </c>
      <c r="L45" s="142">
        <f t="shared" si="18"/>
        <v>4171.3044909073506</v>
      </c>
      <c r="M45" s="16">
        <f>('Truck Diversion (No Build)- Dry'!AA37+'Rail Diversion (No Build) - Dry'!Z54)-'Barge (Build) - Dry'!AE73</f>
        <v>21817.745115585833</v>
      </c>
      <c r="N45" s="16">
        <f>'Truck Diversion (No Build)- Dry'!W37+'Truck Diversion (No Build)- Dry'!Y37</f>
        <v>264650.12575744296</v>
      </c>
      <c r="O45" s="16">
        <f>('Truck Diversion (No Build)- Dry'!T37+'Rail Diversion (No Build) - Dry'!Q54)-'Barge (Build) - Dry'!X73</f>
        <v>877673.61608336377</v>
      </c>
      <c r="P45" s="142">
        <f>'Barge - Liquid'!$B$63*-0.5</f>
        <v>-38500</v>
      </c>
      <c r="Q45" s="16">
        <f t="shared" si="19"/>
        <v>4202249.4846659666</v>
      </c>
      <c r="S45" s="16">
        <f>'Truck Diversion (No Build)- Dry'!G62</f>
        <v>1479979.6107798601</v>
      </c>
      <c r="T45" s="16">
        <f t="shared" si="20"/>
        <v>1534132.69436388</v>
      </c>
      <c r="U45" s="142">
        <f t="shared" si="21"/>
        <v>-54153.083584019914</v>
      </c>
      <c r="V45" s="16">
        <f>'Truck Diversion (No Build)- Dry'!AA62-'Barge (Build) - Dry'!AE73</f>
        <v>22395.065381527518</v>
      </c>
      <c r="W45" s="16">
        <f>'Truck Diversion (No Build)- Dry'!W62+'Truck Diversion (No Build)- Dry'!Y62</f>
        <v>289268.74210697261</v>
      </c>
      <c r="X45" s="16">
        <f>'Truck Diversion (No Build)- Dry'!T62-'Barge (Build) - Dry'!X73</f>
        <v>307137.39610711514</v>
      </c>
      <c r="Y45" s="142">
        <f>'Barge - Liquid'!$B$63*-0.5</f>
        <v>-38500</v>
      </c>
      <c r="Z45" s="16">
        <f t="shared" si="22"/>
        <v>3540260.4251553356</v>
      </c>
      <c r="AA45" s="8"/>
      <c r="AB45" s="16">
        <v>0</v>
      </c>
      <c r="AD45" s="16">
        <f t="shared" si="16"/>
        <v>4412642.9900636571</v>
      </c>
      <c r="AE45" s="16">
        <f t="shared" si="23"/>
        <v>3750653.930553026</v>
      </c>
    </row>
    <row r="46" spans="1:31" x14ac:dyDescent="0.25">
      <c r="A46" s="5">
        <f t="shared" si="24"/>
        <v>2043</v>
      </c>
      <c r="B46" s="9"/>
      <c r="C46" s="16">
        <f>'Barge - Liquid'!M89-'Barge - Liquid'!M116</f>
        <v>56194.786586231996</v>
      </c>
      <c r="D46" s="16">
        <f>'Barge - Liquid'!G89-'Barge - Liquid'!G116</f>
        <v>158011.71390608186</v>
      </c>
      <c r="E46" s="16">
        <f>E20*VLOOKUP($A46,NPV!$B$3:$C$44,2,0)</f>
        <v>10139.084975640262</v>
      </c>
      <c r="F46" s="142">
        <f>F20*VLOOKUP($A46,NPV!$B$3:$C$44,2,0)</f>
        <v>-20278.169951280524</v>
      </c>
      <c r="G46" s="16">
        <f t="shared" si="17"/>
        <v>204067.41551667359</v>
      </c>
      <c r="H46" s="149"/>
      <c r="I46" s="16">
        <f>'Truck Diversion (No Build)- Dry'!G38</f>
        <v>1313311.250459871</v>
      </c>
      <c r="J46" s="16">
        <f>'Rail Diversion (No Build) - Dry'!H55</f>
        <v>178739.18489879734</v>
      </c>
      <c r="K46" s="16">
        <f>'Barge (Build) - Dry'!G74+'Barge (Build) - Dry'!I74</f>
        <v>1493521.1435400115</v>
      </c>
      <c r="L46" s="142">
        <f t="shared" si="18"/>
        <v>-1470.7081813430414</v>
      </c>
      <c r="M46" s="16">
        <f>('Truck Diversion (No Build)- Dry'!AA38+'Rail Diversion (No Build) - Dry'!Z55)-'Barge (Build) - Dry'!AE74</f>
        <v>21161.731440917392</v>
      </c>
      <c r="N46" s="16">
        <f>'Truck Diversion (No Build)- Dry'!W38+'Truck Diversion (No Build)- Dry'!Y38</f>
        <v>256692.65349897475</v>
      </c>
      <c r="O46" s="16">
        <f>('Truck Diversion (No Build)- Dry'!T38+'Rail Diversion (No Build) - Dry'!Q55)-'Barge (Build) - Dry'!X74</f>
        <v>852416.43981916388</v>
      </c>
      <c r="P46" s="142">
        <f>'Barge - Liquid'!$B$63*-0.5</f>
        <v>-38500</v>
      </c>
      <c r="Q46" s="16">
        <f t="shared" si="19"/>
        <v>4075871.6954763932</v>
      </c>
      <c r="S46" s="16">
        <f>'Truck Diversion (No Build)- Dry'!G63</f>
        <v>1435479.738874743</v>
      </c>
      <c r="T46" s="16">
        <f t="shared" si="20"/>
        <v>1493521.1435400115</v>
      </c>
      <c r="U46" s="142">
        <f t="shared" si="21"/>
        <v>-58041.404665268492</v>
      </c>
      <c r="V46" s="16">
        <f>'Truck Diversion (No Build)- Dry'!AA63-'Barge (Build) - Dry'!AE74</f>
        <v>21721.692901578579</v>
      </c>
      <c r="W46" s="16">
        <f>'Truck Diversion (No Build)- Dry'!W63+'Truck Diversion (No Build)- Dry'!Y63</f>
        <v>280571.03987097245</v>
      </c>
      <c r="X46" s="16">
        <f>'Truck Diversion (No Build)- Dry'!T63-'Barge (Build) - Dry'!X74</f>
        <v>298560.77377139998</v>
      </c>
      <c r="Y46" s="142">
        <f>'Barge - Liquid'!$B$63*-0.5</f>
        <v>-38500</v>
      </c>
      <c r="Z46" s="16">
        <f t="shared" si="22"/>
        <v>3433312.9842934371</v>
      </c>
      <c r="AA46" s="8"/>
      <c r="AB46" s="16">
        <v>0</v>
      </c>
      <c r="AD46" s="16">
        <f t="shared" si="16"/>
        <v>4279939.1109930668</v>
      </c>
      <c r="AE46" s="16">
        <f t="shared" si="23"/>
        <v>3637380.3998101107</v>
      </c>
    </row>
    <row r="47" spans="1:31" x14ac:dyDescent="0.25">
      <c r="A47" s="5">
        <f t="shared" si="24"/>
        <v>2044</v>
      </c>
      <c r="B47" s="9"/>
      <c r="C47" s="16">
        <f>'Barge - Liquid'!M90-'Barge - Liquid'!M117</f>
        <v>54505.127629710965</v>
      </c>
      <c r="D47" s="16">
        <f>'Barge - Liquid'!G90-'Barge - Liquid'!G117</f>
        <v>153260.63424450252</v>
      </c>
      <c r="E47" s="16">
        <f>E21*VLOOKUP($A47,NPV!$B$3:$C$44,2,0)</f>
        <v>9834.2240306889071</v>
      </c>
      <c r="F47" s="142">
        <f>F21*VLOOKUP($A47,NPV!$B$3:$C$44,2,0)</f>
        <v>-19668.448061377814</v>
      </c>
      <c r="G47" s="16">
        <f t="shared" si="17"/>
        <v>197931.53784352459</v>
      </c>
      <c r="H47" s="149"/>
      <c r="I47" s="16">
        <f>'Truck Diversion (No Build)- Dry'!G39</f>
        <v>1273822.7453539004</v>
      </c>
      <c r="J47" s="16">
        <f>'Rail Diversion (No Build) - Dry'!H56</f>
        <v>173364.8738106667</v>
      </c>
      <c r="K47" s="16">
        <f>'Barge (Build) - Dry'!G75+'Barge (Build) - Dry'!I75</f>
        <v>1454130.6965721468</v>
      </c>
      <c r="L47" s="142">
        <f t="shared" si="18"/>
        <v>-6943.077407579869</v>
      </c>
      <c r="M47" s="16">
        <f>('Truck Diversion (No Build)- Dry'!AA39+'Rail Diversion (No Build) - Dry'!Z56)-'Barge (Build) - Dry'!AE75</f>
        <v>20525.442716699705</v>
      </c>
      <c r="N47" s="16">
        <f>'Truck Diversion (No Build)- Dry'!W39+'Truck Diversion (No Build)- Dry'!Y39</f>
        <v>248974.44568280777</v>
      </c>
      <c r="O47" s="16">
        <f>('Truck Diversion (No Build)- Dry'!T39+'Rail Diversion (No Build) - Dry'!Q56)-'Barge (Build) - Dry'!X75</f>
        <v>827874.06064395956</v>
      </c>
      <c r="P47" s="142">
        <f>'Barge - Liquid'!$B$63*-0.5</f>
        <v>-38500</v>
      </c>
      <c r="Q47" s="16">
        <f t="shared" si="19"/>
        <v>3953249.1873726007</v>
      </c>
      <c r="S47" s="16">
        <f>'Truck Diversion (No Build)- Dry'!G64</f>
        <v>1392317.8844565889</v>
      </c>
      <c r="T47" s="16">
        <f t="shared" si="20"/>
        <v>1454130.6965721468</v>
      </c>
      <c r="U47" s="142">
        <f t="shared" si="21"/>
        <v>-61812.812115557957</v>
      </c>
      <c r="V47" s="16">
        <f>'Truck Diversion (No Build)- Dry'!AA64-'Barge (Build) - Dry'!AE75</f>
        <v>21068.567314819189</v>
      </c>
      <c r="W47" s="16">
        <f>'Truck Diversion (No Build)- Dry'!W64+'Truck Diversion (No Build)- Dry'!Y64</f>
        <v>272134.85923469689</v>
      </c>
      <c r="X47" s="16">
        <f>'Truck Diversion (No Build)- Dry'!T64-'Barge (Build) - Dry'!X75</f>
        <v>290206.69877587486</v>
      </c>
      <c r="Y47" s="142">
        <f>'Barge - Liquid'!$B$63*-0.5</f>
        <v>-38500</v>
      </c>
      <c r="Z47" s="16">
        <f t="shared" si="22"/>
        <v>3329545.8942385684</v>
      </c>
      <c r="AA47" s="8"/>
      <c r="AB47" s="16">
        <v>0</v>
      </c>
      <c r="AD47" s="16">
        <f t="shared" si="16"/>
        <v>4151180.7252161251</v>
      </c>
      <c r="AE47" s="16">
        <f t="shared" si="23"/>
        <v>3527477.4320820929</v>
      </c>
    </row>
    <row r="48" spans="1:31" x14ac:dyDescent="0.25">
      <c r="A48" s="5">
        <f t="shared" si="24"/>
        <v>2045</v>
      </c>
      <c r="B48" s="9"/>
      <c r="C48" s="16">
        <f>'Barge - Liquid'!M91-'Barge - Liquid'!M118</f>
        <v>52866.273161698307</v>
      </c>
      <c r="D48" s="16">
        <f>'Barge - Liquid'!G91-'Barge - Liquid'!G118</f>
        <v>148652.40954849892</v>
      </c>
      <c r="E48" s="16">
        <f>E22*VLOOKUP($A48,NPV!$B$3:$C$44,2,0)</f>
        <v>9538.5296126953508</v>
      </c>
      <c r="F48" s="142">
        <f>F22*VLOOKUP($A48,NPV!$B$3:$C$44,2,0)</f>
        <v>-19077.059225390702</v>
      </c>
      <c r="G48" s="16">
        <f t="shared" si="17"/>
        <v>191980.1530975019</v>
      </c>
      <c r="H48" s="149"/>
      <c r="I48" s="16">
        <f>'Truck Diversion (No Build)- Dry'!G40</f>
        <v>1235521.5764829295</v>
      </c>
      <c r="J48" s="16">
        <f>'Rail Diversion (No Build) - Dry'!H57</f>
        <v>168152.1569453605</v>
      </c>
      <c r="K48" s="16">
        <f>'Barge (Build) - Dry'!G76+'Barge (Build) - Dry'!I76</f>
        <v>1415924.6374374575</v>
      </c>
      <c r="L48" s="142">
        <f t="shared" si="18"/>
        <v>-12250.904009167338</v>
      </c>
      <c r="M48" s="16">
        <f>('Truck Diversion (No Build)- Dry'!AA40+'Rail Diversion (No Build) - Dry'!Z57)-'Barge (Build) - Dry'!AE76</f>
        <v>19908.285855188846</v>
      </c>
      <c r="N48" s="16">
        <f>'Truck Diversion (No Build)- Dry'!W40+'Truck Diversion (No Build)- Dry'!Y40</f>
        <v>241488.30813075436</v>
      </c>
      <c r="O48" s="16">
        <f>('Truck Diversion (No Build)- Dry'!T40+'Rail Diversion (No Build) - Dry'!Q57)-'Barge (Build) - Dry'!X76</f>
        <v>804026.30097269919</v>
      </c>
      <c r="P48" s="142">
        <f>'Barge - Liquid'!$B$63*-0.5</f>
        <v>-38500</v>
      </c>
      <c r="Q48" s="16">
        <f t="shared" si="19"/>
        <v>3834270.3618152225</v>
      </c>
      <c r="S48" s="16">
        <f>'Truck Diversion (No Build)- Dry'!G65</f>
        <v>1350453.8161557603</v>
      </c>
      <c r="T48" s="16">
        <f t="shared" si="20"/>
        <v>1415924.6374374575</v>
      </c>
      <c r="U48" s="142">
        <f t="shared" si="21"/>
        <v>-65470.821281697135</v>
      </c>
      <c r="V48" s="16">
        <f>'Truck Diversion (No Build)- Dry'!AA65-'Barge (Build) - Dry'!AE76</f>
        <v>20435.079839785827</v>
      </c>
      <c r="W48" s="16">
        <f>'Truck Diversion (No Build)- Dry'!W65+'Truck Diversion (No Build)- Dry'!Y65</f>
        <v>263952.33679408039</v>
      </c>
      <c r="X48" s="16">
        <f>'Truck Diversion (No Build)- Dry'!T65-'Barge (Build) - Dry'!X76</f>
        <v>282069.61210820673</v>
      </c>
      <c r="Y48" s="142">
        <f>'Barge - Liquid'!$B$63*-0.5</f>
        <v>-38500</v>
      </c>
      <c r="Z48" s="16">
        <f t="shared" si="22"/>
        <v>3228864.6610535937</v>
      </c>
      <c r="AA48" s="8"/>
      <c r="AB48" s="16">
        <v>0</v>
      </c>
      <c r="AD48" s="16">
        <f t="shared" si="16"/>
        <v>4026250.5149127245</v>
      </c>
      <c r="AE48" s="16">
        <f t="shared" si="23"/>
        <v>3420844.8141510957</v>
      </c>
    </row>
    <row r="49" spans="1:31" x14ac:dyDescent="0.25">
      <c r="A49" s="5">
        <f t="shared" si="24"/>
        <v>2046</v>
      </c>
      <c r="B49" s="9"/>
      <c r="C49" s="16">
        <f>'Barge - Liquid'!M92-'Barge - Liquid'!M119</f>
        <v>51276.6955981555</v>
      </c>
      <c r="D49" s="16">
        <f>'Barge - Liquid'!G92-'Barge - Liquid'!G119</f>
        <v>144182.74446993112</v>
      </c>
      <c r="E49" s="16">
        <f>E23*VLOOKUP($A49,NPV!$B$3:$C$44,2,0)</f>
        <v>9251.7261034872481</v>
      </c>
      <c r="F49" s="142">
        <f>F23*VLOOKUP($A49,NPV!$B$3:$C$44,2,0)</f>
        <v>-18503.452206974496</v>
      </c>
      <c r="G49" s="16">
        <f t="shared" si="17"/>
        <v>186207.71396459936</v>
      </c>
      <c r="H49" s="149"/>
      <c r="I49" s="16">
        <f>'Truck Diversion (No Build)- Dry'!G41</f>
        <v>1198372.0431454217</v>
      </c>
      <c r="J49" s="16">
        <f>'Rail Diversion (No Build) - Dry'!H58</f>
        <v>163096.1755047144</v>
      </c>
      <c r="K49" s="16">
        <f>'Barge (Build) - Dry'!G77+'Barge (Build) - Dry'!I77</f>
        <v>1378867.3540866436</v>
      </c>
      <c r="L49" s="142">
        <f t="shared" si="18"/>
        <v>-17399.135436507408</v>
      </c>
      <c r="M49" s="16">
        <f>('Truck Diversion (No Build)- Dry'!AA41+'Rail Diversion (No Build) - Dry'!Z58)-'Barge (Build) - Dry'!AE77</f>
        <v>19309.685601541074</v>
      </c>
      <c r="N49" s="16">
        <f>'Truck Diversion (No Build)- Dry'!W41+'Truck Diversion (No Build)- Dry'!Y41</f>
        <v>234227.26297842327</v>
      </c>
      <c r="O49" s="16">
        <f>('Truck Diversion (No Build)- Dry'!T41+'Rail Diversion (No Build) - Dry'!Q58)-'Barge (Build) - Dry'!X77</f>
        <v>780853.55551470397</v>
      </c>
      <c r="P49" s="142">
        <f>'Barge - Liquid'!$B$63*-0.5</f>
        <v>-38500</v>
      </c>
      <c r="Q49" s="16">
        <f t="shared" si="19"/>
        <v>3718826.9413949405</v>
      </c>
      <c r="S49" s="16">
        <f>'Truck Diversion (No Build)- Dry'!G66</f>
        <v>1309848.5122752285</v>
      </c>
      <c r="T49" s="16">
        <f t="shared" si="20"/>
        <v>1378867.3540866436</v>
      </c>
      <c r="U49" s="142">
        <f t="shared" si="21"/>
        <v>-69018.841811415041</v>
      </c>
      <c r="V49" s="16">
        <f>'Truck Diversion (No Build)- Dry'!AA66-'Barge (Build) - Dry'!AE77</f>
        <v>19820.639999792271</v>
      </c>
      <c r="W49" s="16">
        <f>'Truck Diversion (No Build)- Dry'!W66+'Truck Diversion (No Build)- Dry'!Y66</f>
        <v>256015.84558106735</v>
      </c>
      <c r="X49" s="16">
        <f>'Truck Diversion (No Build)- Dry'!T66-'Barge (Build) - Dry'!X77</f>
        <v>274144.09107603831</v>
      </c>
      <c r="Y49" s="142">
        <f>'Barge - Liquid'!$B$63*-0.5</f>
        <v>-38500</v>
      </c>
      <c r="Z49" s="16">
        <f t="shared" si="22"/>
        <v>3131177.6012073555</v>
      </c>
      <c r="AA49" s="8"/>
      <c r="AB49" s="16">
        <v>0</v>
      </c>
      <c r="AD49" s="16">
        <f t="shared" si="16"/>
        <v>3905034.6553595397</v>
      </c>
      <c r="AE49" s="16">
        <f t="shared" si="23"/>
        <v>3317385.3151719547</v>
      </c>
    </row>
    <row r="50" spans="1:31" x14ac:dyDescent="0.25">
      <c r="A50" s="5">
        <f t="shared" si="24"/>
        <v>2047</v>
      </c>
      <c r="B50" s="9"/>
      <c r="C50" s="16">
        <f>'Barge - Liquid'!M93-'Barge - Liquid'!M120</f>
        <v>49734.913286280796</v>
      </c>
      <c r="D50" s="16">
        <f>'Barge - Liquid'!G93-'Barge - Liquid'!G120</f>
        <v>139847.47281273629</v>
      </c>
      <c r="E50" s="16">
        <f>E24*VLOOKUP($A50,NPV!$B$3:$C$44,2,0)</f>
        <v>8973.5461721505799</v>
      </c>
      <c r="F50" s="142">
        <f>F24*VLOOKUP($A50,NPV!$B$3:$C$44,2,0)</f>
        <v>-17947.09234430116</v>
      </c>
      <c r="G50" s="16">
        <f t="shared" si="17"/>
        <v>180608.83992686649</v>
      </c>
      <c r="H50" s="149"/>
      <c r="I50" s="16">
        <f>'Truck Diversion (No Build)- Dry'!G42</f>
        <v>1162339.5180847931</v>
      </c>
      <c r="J50" s="16">
        <f>'Rail Diversion (No Build) - Dry'!H59</f>
        <v>158192.21678439804</v>
      </c>
      <c r="K50" s="16">
        <f>'Barge (Build) - Dry'!G78+'Barge (Build) - Dry'!I78</f>
        <v>1342924.3052497725</v>
      </c>
      <c r="L50" s="142">
        <f t="shared" si="18"/>
        <v>-22392.57038058131</v>
      </c>
      <c r="M50" s="16">
        <f>('Truck Diversion (No Build)- Dry'!AA42+'Rail Diversion (No Build) - Dry'!Z59)-'Barge (Build) - Dry'!AE78</f>
        <v>18729.083997615013</v>
      </c>
      <c r="N50" s="16">
        <f>'Truck Diversion (No Build)- Dry'!W42+'Truck Diversion (No Build)- Dry'!Y42</f>
        <v>227184.54217111861</v>
      </c>
      <c r="O50" s="16">
        <f>('Truck Diversion (No Build)- Dry'!T42+'Rail Diversion (No Build) - Dry'!Q59)-'Barge (Build) - Dry'!X78</f>
        <v>757841.62879723299</v>
      </c>
      <c r="P50" s="142">
        <f>'Barge - Liquid'!$B$63*-0.5</f>
        <v>-38500</v>
      </c>
      <c r="Q50" s="16">
        <f t="shared" si="19"/>
        <v>3606318.7247043489</v>
      </c>
      <c r="S50" s="16">
        <f>'Truck Diversion (No Build)- Dry'!G67</f>
        <v>1270464.1244182622</v>
      </c>
      <c r="T50" s="16">
        <f t="shared" si="20"/>
        <v>1342924.3052497725</v>
      </c>
      <c r="U50" s="142">
        <f t="shared" si="21"/>
        <v>-72460.180831510341</v>
      </c>
      <c r="V50" s="16">
        <f>'Truck Diversion (No Build)- Dry'!AA67-'Barge (Build) - Dry'!AE78</f>
        <v>19224.675072543425</v>
      </c>
      <c r="W50" s="16">
        <f>'Truck Diversion (No Build)- Dry'!W67+'Truck Diversion (No Build)- Dry'!Y67</f>
        <v>248317.98795447851</v>
      </c>
      <c r="X50" s="16">
        <f>'Truck Diversion (No Build)- Dry'!T67-'Barge (Build) - Dry'!X78</f>
        <v>265929.69986928324</v>
      </c>
      <c r="Y50" s="142">
        <f>'Barge - Liquid'!$B$63*-0.5</f>
        <v>-38500</v>
      </c>
      <c r="Z50" s="16">
        <f t="shared" si="22"/>
        <v>3035900.6117328294</v>
      </c>
      <c r="AA50" s="8"/>
      <c r="AB50" s="16">
        <f>((50-20)/50)*'Capital Costs'!$B$3*VLOOKUP($A50,NPV!$B$3:$C$44,2,0)</f>
        <v>5282749.4732989389</v>
      </c>
      <c r="AD50" s="16">
        <f t="shared" si="16"/>
        <v>9069677.0379301533</v>
      </c>
      <c r="AE50" s="16">
        <f t="shared" si="23"/>
        <v>8499258.9249586351</v>
      </c>
    </row>
    <row r="51" spans="1:31" x14ac:dyDescent="0.25">
      <c r="A51" s="11" t="s">
        <v>44</v>
      </c>
      <c r="B51" s="38"/>
      <c r="C51" s="39">
        <f t="shared" ref="C51:D51" si="25">SUBTOTAL(9,C31:C50)</f>
        <v>1350073.0082114029</v>
      </c>
      <c r="D51" s="39">
        <f t="shared" si="25"/>
        <v>3796212.4760180144</v>
      </c>
      <c r="E51" s="39">
        <f>SUBTOTAL(9,E31:E50)</f>
        <v>243590.30054448929</v>
      </c>
      <c r="F51" s="143">
        <f>SUBTOTAL(9,F31:F50)</f>
        <v>-487180.60108897858</v>
      </c>
      <c r="G51" s="151">
        <f t="shared" ref="G51" si="26">SUBTOTAL(9,G31:G50)</f>
        <v>4902695.1836849274</v>
      </c>
      <c r="H51" s="40"/>
      <c r="I51" s="152">
        <f t="shared" ref="I51:O51" si="27">SUBTOTAL(9,I31:I50)</f>
        <v>31552145.284962207</v>
      </c>
      <c r="J51" s="39">
        <f t="shared" si="27"/>
        <v>4294187.4807421332</v>
      </c>
      <c r="K51" s="39">
        <f t="shared" si="27"/>
        <v>35143217.111557409</v>
      </c>
      <c r="L51" s="143">
        <f t="shared" si="27"/>
        <v>703115.65414693556</v>
      </c>
      <c r="M51" s="39">
        <f t="shared" si="27"/>
        <v>508408.05991068459</v>
      </c>
      <c r="N51" s="39">
        <f t="shared" si="27"/>
        <v>6167010.2147880662</v>
      </c>
      <c r="O51" s="39">
        <f t="shared" si="27"/>
        <v>20278921.991237484</v>
      </c>
      <c r="P51" s="143">
        <f t="shared" ref="P51" si="28">SUBTOTAL(9,P31:P50)</f>
        <v>-770000</v>
      </c>
      <c r="Q51" s="39">
        <f t="shared" ref="Q51" si="29">SUBTOTAL(9,Q31:Q50)</f>
        <v>97877005.797344908</v>
      </c>
      <c r="R51" s="1"/>
      <c r="S51" s="39">
        <f t="shared" ref="S51:X51" si="30">SUBTOTAL(9,S31:S50)</f>
        <v>34487228.567284279</v>
      </c>
      <c r="T51" s="39">
        <f t="shared" si="30"/>
        <v>35143217.111557409</v>
      </c>
      <c r="U51" s="143">
        <f t="shared" si="30"/>
        <v>-655988.54427313106</v>
      </c>
      <c r="V51" s="39">
        <f t="shared" si="30"/>
        <v>521861.06684607384</v>
      </c>
      <c r="W51" s="39">
        <f t="shared" si="30"/>
        <v>6740685.5836055614</v>
      </c>
      <c r="X51" s="39">
        <f t="shared" si="30"/>
        <v>7042745.303409786</v>
      </c>
      <c r="Y51" s="143">
        <f t="shared" ref="Y51" si="31">SUBTOTAL(9,Y31:Y50)</f>
        <v>-770000</v>
      </c>
      <c r="Z51" s="39">
        <f t="shared" ref="Z51" si="32">SUBTOTAL(9,Z31:Z50)</f>
        <v>82509749.088429958</v>
      </c>
      <c r="AA51" s="40"/>
      <c r="AB51" s="39">
        <f t="shared" ref="AB51" si="33">SUBTOTAL(9,AB31:AB50)</f>
        <v>5282749.4732989389</v>
      </c>
      <c r="AC51" s="1"/>
      <c r="AD51" s="39">
        <f t="shared" si="16"/>
        <v>108062450.45432878</v>
      </c>
      <c r="AE51" s="39">
        <f t="shared" si="23"/>
        <v>92695193.745413825</v>
      </c>
    </row>
    <row r="52" spans="1:31" x14ac:dyDescent="0.25">
      <c r="H52" s="158"/>
    </row>
    <row r="53" spans="1:31" x14ac:dyDescent="0.25">
      <c r="AC53" s="155" t="s">
        <v>121</v>
      </c>
      <c r="AD53" s="8">
        <f>AD51-'Capital Costs'!D31</f>
        <v>90611572.313745961</v>
      </c>
      <c r="AE53" s="8">
        <f>AE51-'Capital Costs'!D31</f>
        <v>75244315.60483101</v>
      </c>
    </row>
    <row r="54" spans="1:31" x14ac:dyDescent="0.25">
      <c r="P54" s="158"/>
    </row>
  </sheetData>
  <mergeCells count="9">
    <mergeCell ref="AG29:AH29"/>
    <mergeCell ref="AJ29:AK29"/>
    <mergeCell ref="C3:G3"/>
    <mergeCell ref="AT3:AU3"/>
    <mergeCell ref="C29:G29"/>
    <mergeCell ref="I3:Q3"/>
    <mergeCell ref="S3:Z3"/>
    <mergeCell ref="I29:Q29"/>
    <mergeCell ref="S29:Z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76904-E1EC-4E86-801D-83A7597FFC50}">
  <dimension ref="A2:E87"/>
  <sheetViews>
    <sheetView workbookViewId="0">
      <selection activeCell="D29" sqref="D29"/>
    </sheetView>
  </sheetViews>
  <sheetFormatPr defaultRowHeight="15" x14ac:dyDescent="0.25"/>
  <cols>
    <col min="1" max="1" width="50" customWidth="1"/>
    <col min="2" max="2" width="18.140625" customWidth="1"/>
    <col min="3" max="3" width="17.140625" customWidth="1"/>
    <col min="4" max="4" width="51.42578125" customWidth="1"/>
    <col min="5" max="5" width="16.28515625" bestFit="1" customWidth="1"/>
    <col min="6" max="6" width="18.5703125" bestFit="1" customWidth="1"/>
    <col min="7" max="25" width="12.5703125" bestFit="1" customWidth="1"/>
  </cols>
  <sheetData>
    <row r="2" spans="1:5" ht="20.25" thickBot="1" x14ac:dyDescent="0.35">
      <c r="A2" s="19" t="s">
        <v>281</v>
      </c>
    </row>
    <row r="3" spans="1:5" ht="15.75" thickTop="1" x14ac:dyDescent="0.25"/>
    <row r="4" spans="1:5" x14ac:dyDescent="0.25">
      <c r="A4" s="30" t="s">
        <v>28</v>
      </c>
      <c r="B4" s="30" t="s">
        <v>29</v>
      </c>
      <c r="C4" s="30" t="s">
        <v>30</v>
      </c>
    </row>
    <row r="5" spans="1:5" x14ac:dyDescent="0.25">
      <c r="A5" s="31" t="s">
        <v>31</v>
      </c>
      <c r="B5" s="2">
        <v>3.1E-2</v>
      </c>
      <c r="C5" s="32" t="s">
        <v>210</v>
      </c>
    </row>
    <row r="6" spans="1:5" x14ac:dyDescent="0.25">
      <c r="A6" s="31" t="s">
        <v>32</v>
      </c>
      <c r="B6" s="58">
        <v>0.02</v>
      </c>
      <c r="C6" s="32" t="s">
        <v>210</v>
      </c>
    </row>
    <row r="7" spans="1:5" x14ac:dyDescent="0.25">
      <c r="A7" s="31" t="s">
        <v>33</v>
      </c>
      <c r="B7" s="3">
        <f>3.174-0.361-0.244</f>
        <v>2.569</v>
      </c>
      <c r="C7" s="93" t="s">
        <v>211</v>
      </c>
    </row>
    <row r="8" spans="1:5" x14ac:dyDescent="0.25">
      <c r="A8" s="33" t="s">
        <v>34</v>
      </c>
      <c r="B8" s="36">
        <f>60*60</f>
        <v>3600</v>
      </c>
      <c r="C8" s="34"/>
    </row>
    <row r="9" spans="1:5" x14ac:dyDescent="0.25">
      <c r="A9" s="33" t="s">
        <v>35</v>
      </c>
      <c r="B9" s="36">
        <v>1000000</v>
      </c>
      <c r="C9" s="34"/>
    </row>
    <row r="10" spans="1:5" x14ac:dyDescent="0.25">
      <c r="A10" s="31" t="s">
        <v>36</v>
      </c>
      <c r="B10" s="58">
        <f>1/1000</f>
        <v>1E-3</v>
      </c>
      <c r="C10" s="31"/>
    </row>
    <row r="11" spans="1:5" x14ac:dyDescent="0.25">
      <c r="A11" s="31" t="s">
        <v>37</v>
      </c>
      <c r="B11" s="57">
        <f>1/1.1023</f>
        <v>0.9071940488070398</v>
      </c>
      <c r="C11" s="31"/>
    </row>
    <row r="13" spans="1:5" x14ac:dyDescent="0.25">
      <c r="A13" s="13" t="s">
        <v>204</v>
      </c>
      <c r="B13" s="14" t="s">
        <v>22</v>
      </c>
      <c r="D13" s="13" t="s">
        <v>205</v>
      </c>
      <c r="E13" s="14" t="s">
        <v>22</v>
      </c>
    </row>
    <row r="14" spans="1:5" x14ac:dyDescent="0.25">
      <c r="A14" s="5" t="s">
        <v>38</v>
      </c>
      <c r="B14" s="52">
        <v>8.5000000000000006E-2</v>
      </c>
      <c r="D14" s="5" t="s">
        <v>38</v>
      </c>
      <c r="E14" s="52">
        <v>0</v>
      </c>
    </row>
    <row r="15" spans="1:5" x14ac:dyDescent="0.25">
      <c r="A15" s="5" t="s">
        <v>39</v>
      </c>
      <c r="B15" s="53">
        <f>1-B14</f>
        <v>0.91500000000000004</v>
      </c>
      <c r="D15" s="5" t="s">
        <v>39</v>
      </c>
      <c r="E15" s="53">
        <f>1-E14</f>
        <v>1</v>
      </c>
    </row>
    <row r="17" spans="1:5" x14ac:dyDescent="0.25">
      <c r="A17" s="14" t="s">
        <v>312</v>
      </c>
      <c r="B17" s="14" t="s">
        <v>40</v>
      </c>
      <c r="C17" s="14" t="s">
        <v>41</v>
      </c>
      <c r="D17" s="14" t="s">
        <v>42</v>
      </c>
    </row>
    <row r="18" spans="1:5" x14ac:dyDescent="0.25">
      <c r="A18" s="5" t="s">
        <v>215</v>
      </c>
      <c r="B18" s="18">
        <f>102*2</f>
        <v>204</v>
      </c>
      <c r="C18" s="28">
        <f>(('Rail Diversion (No Build) - Dry'!C41+'Rail Diversion (No Build) - Dry'!D41)*60)/(52)</f>
        <v>549.6</v>
      </c>
      <c r="D18" s="5" t="s">
        <v>212</v>
      </c>
    </row>
    <row r="19" spans="1:5" x14ac:dyDescent="0.25">
      <c r="A19" s="5" t="s">
        <v>214</v>
      </c>
      <c r="B19" s="18">
        <f>70.4*2</f>
        <v>140.80000000000001</v>
      </c>
      <c r="C19" s="28">
        <f>(90+20)*2</f>
        <v>220</v>
      </c>
      <c r="D19" s="5" t="s">
        <v>287</v>
      </c>
    </row>
    <row r="20" spans="1:5" x14ac:dyDescent="0.25">
      <c r="A20" s="5" t="s">
        <v>213</v>
      </c>
      <c r="B20" s="28">
        <f>65.5944285*2</f>
        <v>131.18885700000001</v>
      </c>
      <c r="C20" s="28">
        <f>2*9*60</f>
        <v>1080</v>
      </c>
      <c r="D20" s="5" t="s">
        <v>387</v>
      </c>
    </row>
    <row r="21" spans="1:5" x14ac:dyDescent="0.25">
      <c r="B21" s="29"/>
      <c r="C21" s="29"/>
    </row>
    <row r="22" spans="1:5" x14ac:dyDescent="0.25">
      <c r="A22" s="11" t="s">
        <v>216</v>
      </c>
      <c r="B22" s="25">
        <f>7349206/20</f>
        <v>367460.3</v>
      </c>
      <c r="C22" s="54"/>
      <c r="E22" s="9"/>
    </row>
    <row r="23" spans="1:5" x14ac:dyDescent="0.25">
      <c r="A23" s="11" t="s">
        <v>230</v>
      </c>
      <c r="B23" s="25">
        <f>8569095/20</f>
        <v>428454.75</v>
      </c>
      <c r="C23" s="54"/>
      <c r="E23" s="9"/>
    </row>
    <row r="24" spans="1:5" x14ac:dyDescent="0.25">
      <c r="A24" s="11" t="s">
        <v>44</v>
      </c>
      <c r="B24" s="37">
        <f>B22+B23</f>
        <v>795915.05</v>
      </c>
      <c r="C24" s="42"/>
    </row>
    <row r="25" spans="1:5" x14ac:dyDescent="0.25">
      <c r="A25" s="1"/>
      <c r="B25" s="38"/>
      <c r="C25" s="42"/>
    </row>
    <row r="26" spans="1:5" x14ac:dyDescent="0.25">
      <c r="C26" s="42"/>
    </row>
    <row r="27" spans="1:5" x14ac:dyDescent="0.25">
      <c r="C27" s="42"/>
    </row>
    <row r="28" spans="1:5" x14ac:dyDescent="0.25">
      <c r="C28" s="42"/>
    </row>
    <row r="30" spans="1:5" ht="20.25" thickBot="1" x14ac:dyDescent="0.35">
      <c r="A30" s="19" t="s">
        <v>46</v>
      </c>
    </row>
    <row r="31" spans="1:5" ht="15.75" thickTop="1" x14ac:dyDescent="0.25"/>
    <row r="32" spans="1:5" ht="30" x14ac:dyDescent="0.25">
      <c r="A32" s="14" t="s">
        <v>209</v>
      </c>
      <c r="B32" s="15" t="s">
        <v>208</v>
      </c>
      <c r="C32" s="14" t="s">
        <v>30</v>
      </c>
    </row>
    <row r="33" spans="1:3" x14ac:dyDescent="0.25">
      <c r="A33" s="5" t="s">
        <v>47</v>
      </c>
      <c r="B33" s="17">
        <v>9100</v>
      </c>
      <c r="C33" s="5" t="s">
        <v>206</v>
      </c>
    </row>
    <row r="34" spans="1:3" x14ac:dyDescent="0.25">
      <c r="A34" s="5" t="s">
        <v>48</v>
      </c>
      <c r="B34" s="17">
        <v>313000</v>
      </c>
      <c r="C34" s="5" t="s">
        <v>206</v>
      </c>
    </row>
    <row r="35" spans="1:3" x14ac:dyDescent="0.25">
      <c r="A35" s="5" t="s">
        <v>49</v>
      </c>
      <c r="B35" s="17">
        <v>14022900</v>
      </c>
      <c r="C35" s="5" t="s">
        <v>206</v>
      </c>
    </row>
    <row r="36" spans="1:3" x14ac:dyDescent="0.25">
      <c r="A36" s="179" t="s">
        <v>207</v>
      </c>
      <c r="B36" s="180"/>
      <c r="C36" s="181"/>
    </row>
    <row r="38" spans="1:3" x14ac:dyDescent="0.25">
      <c r="A38" s="182" t="s">
        <v>50</v>
      </c>
      <c r="B38" s="182"/>
      <c r="C38" s="14"/>
    </row>
    <row r="39" spans="1:3" ht="30" x14ac:dyDescent="0.25">
      <c r="A39" s="14" t="s">
        <v>51</v>
      </c>
      <c r="B39" s="15" t="s">
        <v>208</v>
      </c>
      <c r="C39" s="14" t="s">
        <v>30</v>
      </c>
    </row>
    <row r="40" spans="1:3" x14ac:dyDescent="0.25">
      <c r="A40" s="5" t="s">
        <v>52</v>
      </c>
      <c r="B40" s="17">
        <v>5000</v>
      </c>
      <c r="C40" s="5" t="s">
        <v>206</v>
      </c>
    </row>
    <row r="41" spans="1:3" x14ac:dyDescent="0.25">
      <c r="A41" s="5" t="s">
        <v>53</v>
      </c>
      <c r="B41" s="17">
        <v>111700</v>
      </c>
      <c r="C41" s="5" t="s">
        <v>206</v>
      </c>
    </row>
    <row r="42" spans="1:3" x14ac:dyDescent="0.25">
      <c r="A42" s="5" t="s">
        <v>54</v>
      </c>
      <c r="B42" s="17">
        <v>233800</v>
      </c>
      <c r="C42" s="5" t="s">
        <v>206</v>
      </c>
    </row>
    <row r="43" spans="1:3" x14ac:dyDescent="0.25">
      <c r="A43" s="5" t="s">
        <v>55</v>
      </c>
      <c r="B43" s="17">
        <v>1188200</v>
      </c>
      <c r="C43" s="5" t="s">
        <v>206</v>
      </c>
    </row>
    <row r="44" spans="1:3" x14ac:dyDescent="0.25">
      <c r="A44" s="5" t="s">
        <v>56</v>
      </c>
      <c r="B44" s="17">
        <v>12500000</v>
      </c>
      <c r="C44" s="5" t="s">
        <v>206</v>
      </c>
    </row>
    <row r="45" spans="1:3" x14ac:dyDescent="0.25">
      <c r="A45" s="5" t="s">
        <v>57</v>
      </c>
      <c r="B45" s="17">
        <v>217600</v>
      </c>
      <c r="C45" s="5" t="s">
        <v>206</v>
      </c>
    </row>
    <row r="46" spans="1:3" x14ac:dyDescent="0.25">
      <c r="A46" s="179" t="s">
        <v>58</v>
      </c>
      <c r="B46" s="180"/>
      <c r="C46" s="181"/>
    </row>
    <row r="48" spans="1:3" ht="24" customHeight="1" x14ac:dyDescent="0.25"/>
    <row r="80" spans="1:2" ht="20.25" thickBot="1" x14ac:dyDescent="0.35">
      <c r="A80" s="19" t="s">
        <v>106</v>
      </c>
      <c r="B80" t="s">
        <v>107</v>
      </c>
    </row>
    <row r="81" spans="1:5" ht="15.75" thickTop="1" x14ac:dyDescent="0.25"/>
    <row r="82" spans="1:5" x14ac:dyDescent="0.25">
      <c r="A82" s="168"/>
      <c r="B82" s="183" t="s">
        <v>108</v>
      </c>
      <c r="C82" s="184"/>
      <c r="D82" s="185"/>
    </row>
    <row r="83" spans="1:5" x14ac:dyDescent="0.25">
      <c r="A83" s="168"/>
      <c r="B83" s="14" t="s">
        <v>24</v>
      </c>
      <c r="C83" s="14" t="s">
        <v>43</v>
      </c>
      <c r="D83" s="14" t="s">
        <v>20</v>
      </c>
    </row>
    <row r="84" spans="1:5" x14ac:dyDescent="0.25">
      <c r="A84" s="5" t="s">
        <v>109</v>
      </c>
      <c r="B84" s="18">
        <v>2.2999999999999998</v>
      </c>
      <c r="C84" s="18">
        <v>5.5</v>
      </c>
      <c r="D84" s="18">
        <v>6.6</v>
      </c>
      <c r="E84" s="26" t="s">
        <v>110</v>
      </c>
    </row>
    <row r="85" spans="1:5" x14ac:dyDescent="0.25">
      <c r="A85" s="173" t="s">
        <v>111</v>
      </c>
      <c r="B85" s="174"/>
      <c r="C85" s="174"/>
      <c r="D85" s="175"/>
    </row>
    <row r="86" spans="1:5" x14ac:dyDescent="0.25">
      <c r="A86" s="176"/>
      <c r="B86" s="177"/>
      <c r="C86" s="177"/>
      <c r="D86" s="178"/>
    </row>
    <row r="87" spans="1:5" x14ac:dyDescent="0.25">
      <c r="A87" s="170" t="s">
        <v>112</v>
      </c>
      <c r="B87" s="171"/>
      <c r="C87" s="171"/>
      <c r="D87" s="172"/>
    </row>
  </sheetData>
  <mergeCells count="7">
    <mergeCell ref="A87:D87"/>
    <mergeCell ref="A85:D86"/>
    <mergeCell ref="A36:C36"/>
    <mergeCell ref="A38:B38"/>
    <mergeCell ref="A82:A83"/>
    <mergeCell ref="B82:D82"/>
    <mergeCell ref="A46:C46"/>
  </mergeCells>
  <phoneticPr fontId="20" type="noConversion"/>
  <hyperlinks>
    <hyperlink ref="A87" r:id="rId1" xr:uid="{4A939D51-726B-4BFE-BA57-4256BAEE004D}"/>
    <hyperlink ref="C7" r:id="rId2" xr:uid="{C011804D-78B7-46AE-B1CC-00756D8A746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D9E4F-89C5-4F31-9737-60385A4C4067}">
  <dimension ref="A2:G44"/>
  <sheetViews>
    <sheetView workbookViewId="0">
      <selection activeCell="E58" sqref="E58"/>
    </sheetView>
  </sheetViews>
  <sheetFormatPr defaultRowHeight="15" x14ac:dyDescent="0.25"/>
  <cols>
    <col min="1" max="1" width="3" bestFit="1" customWidth="1"/>
    <col min="2" max="2" width="5" bestFit="1" customWidth="1"/>
    <col min="3" max="4" width="12" bestFit="1" customWidth="1"/>
    <col min="6" max="6" width="9.5703125" bestFit="1" customWidth="1"/>
    <col min="7" max="7" width="19.85546875" customWidth="1"/>
  </cols>
  <sheetData>
    <row r="2" spans="1:7" x14ac:dyDescent="0.25">
      <c r="A2" s="168" t="s">
        <v>113</v>
      </c>
      <c r="B2" s="168"/>
      <c r="C2" s="168"/>
      <c r="D2" s="168"/>
      <c r="F2" s="168" t="s">
        <v>114</v>
      </c>
      <c r="G2" s="168"/>
    </row>
    <row r="3" spans="1:7" x14ac:dyDescent="0.25">
      <c r="A3" s="13"/>
      <c r="B3" s="13" t="s">
        <v>80</v>
      </c>
      <c r="C3" s="62">
        <v>3.1E-2</v>
      </c>
      <c r="D3" s="62">
        <v>0.02</v>
      </c>
      <c r="F3" s="14" t="s">
        <v>115</v>
      </c>
      <c r="G3" s="14" t="s">
        <v>116</v>
      </c>
    </row>
    <row r="4" spans="1:7" x14ac:dyDescent="0.25">
      <c r="A4" s="5">
        <v>0</v>
      </c>
      <c r="B4" s="5">
        <v>2022</v>
      </c>
      <c r="C4" s="5">
        <v>1</v>
      </c>
      <c r="D4" s="5">
        <v>1</v>
      </c>
      <c r="F4" s="5">
        <f t="shared" ref="F4:F21" si="0">F5-1</f>
        <v>2003</v>
      </c>
      <c r="G4" s="49">
        <v>1.53</v>
      </c>
    </row>
    <row r="5" spans="1:7" x14ac:dyDescent="0.25">
      <c r="A5" s="5">
        <v>1</v>
      </c>
      <c r="B5" s="5">
        <f>B4+1</f>
        <v>2023</v>
      </c>
      <c r="C5" s="20">
        <f>1/(1+C$3)^$A5</f>
        <v>0.96993210475266745</v>
      </c>
      <c r="D5" s="20">
        <f>1/(1+D$3)^$A5</f>
        <v>0.98039215686274506</v>
      </c>
      <c r="F5" s="5">
        <f t="shared" si="0"/>
        <v>2004</v>
      </c>
      <c r="G5" s="49">
        <v>1.49</v>
      </c>
    </row>
    <row r="6" spans="1:7" x14ac:dyDescent="0.25">
      <c r="A6" s="5">
        <v>2</v>
      </c>
      <c r="B6" s="5">
        <f t="shared" ref="B6:B44" si="1">B5+1</f>
        <v>2024</v>
      </c>
      <c r="C6" s="20">
        <f t="shared" ref="C6:D44" si="2">1/(1+C$3)^$A6</f>
        <v>0.94076828782993938</v>
      </c>
      <c r="D6" s="20">
        <f t="shared" si="2"/>
        <v>0.96116878123798544</v>
      </c>
      <c r="F6" s="5">
        <f t="shared" si="0"/>
        <v>2005</v>
      </c>
      <c r="G6" s="49">
        <v>1.45</v>
      </c>
    </row>
    <row r="7" spans="1:7" x14ac:dyDescent="0.25">
      <c r="A7" s="5">
        <v>3</v>
      </c>
      <c r="B7" s="5">
        <f t="shared" si="1"/>
        <v>2025</v>
      </c>
      <c r="C7" s="20">
        <f t="shared" si="2"/>
        <v>0.91248136549945624</v>
      </c>
      <c r="D7" s="20">
        <f t="shared" si="2"/>
        <v>0.94232233454704462</v>
      </c>
      <c r="F7" s="5">
        <f t="shared" si="0"/>
        <v>2006</v>
      </c>
      <c r="G7" s="49">
        <v>1.4</v>
      </c>
    </row>
    <row r="8" spans="1:7" x14ac:dyDescent="0.25">
      <c r="A8" s="5">
        <v>4</v>
      </c>
      <c r="B8" s="5">
        <f t="shared" si="1"/>
        <v>2026</v>
      </c>
      <c r="C8" s="20">
        <f t="shared" si="2"/>
        <v>0.88504497138647553</v>
      </c>
      <c r="D8" s="20">
        <f t="shared" si="2"/>
        <v>0.9238454260265142</v>
      </c>
      <c r="F8" s="5">
        <f t="shared" si="0"/>
        <v>2007</v>
      </c>
      <c r="G8" s="49">
        <v>1.37</v>
      </c>
    </row>
    <row r="9" spans="1:7" x14ac:dyDescent="0.25">
      <c r="A9" s="5">
        <v>5</v>
      </c>
      <c r="B9" s="5">
        <f t="shared" si="1"/>
        <v>2027</v>
      </c>
      <c r="C9" s="20">
        <f t="shared" si="2"/>
        <v>0.85843353189764848</v>
      </c>
      <c r="D9" s="20">
        <f t="shared" si="2"/>
        <v>0.90573080982991594</v>
      </c>
      <c r="F9" s="5">
        <f t="shared" si="0"/>
        <v>2008</v>
      </c>
      <c r="G9" s="49">
        <v>1.34</v>
      </c>
    </row>
    <row r="10" spans="1:7" x14ac:dyDescent="0.25">
      <c r="A10" s="5">
        <v>6</v>
      </c>
      <c r="B10" s="5">
        <f t="shared" si="1"/>
        <v>2028</v>
      </c>
      <c r="C10" s="20">
        <f t="shared" si="2"/>
        <v>0.83262224238375215</v>
      </c>
      <c r="D10" s="20">
        <f t="shared" si="2"/>
        <v>0.88797138218619198</v>
      </c>
      <c r="F10" s="5">
        <f t="shared" si="0"/>
        <v>2009</v>
      </c>
      <c r="G10" s="49">
        <v>1.33</v>
      </c>
    </row>
    <row r="11" spans="1:7" x14ac:dyDescent="0.25">
      <c r="A11" s="5">
        <v>7</v>
      </c>
      <c r="B11" s="5">
        <f t="shared" si="1"/>
        <v>2029</v>
      </c>
      <c r="C11" s="20">
        <f t="shared" si="2"/>
        <v>0.80758704401915837</v>
      </c>
      <c r="D11" s="20">
        <f t="shared" si="2"/>
        <v>0.87056017861391388</v>
      </c>
      <c r="F11" s="5">
        <f t="shared" si="0"/>
        <v>2010</v>
      </c>
      <c r="G11" s="49">
        <v>1.32</v>
      </c>
    </row>
    <row r="12" spans="1:7" x14ac:dyDescent="0.25">
      <c r="A12" s="5">
        <v>8</v>
      </c>
      <c r="B12" s="5">
        <f t="shared" si="1"/>
        <v>2030</v>
      </c>
      <c r="C12" s="20">
        <f t="shared" si="2"/>
        <v>0.78330460137648728</v>
      </c>
      <c r="D12" s="20">
        <f t="shared" si="2"/>
        <v>0.85349037119011162</v>
      </c>
      <c r="F12" s="5">
        <f t="shared" si="0"/>
        <v>2011</v>
      </c>
      <c r="G12" s="49">
        <v>1.29</v>
      </c>
    </row>
    <row r="13" spans="1:7" x14ac:dyDescent="0.25">
      <c r="A13" s="5">
        <v>9</v>
      </c>
      <c r="B13" s="5">
        <f t="shared" si="1"/>
        <v>2031</v>
      </c>
      <c r="C13" s="20">
        <f t="shared" si="2"/>
        <v>0.75975228067554545</v>
      </c>
      <c r="D13" s="20">
        <f t="shared" si="2"/>
        <v>0.83675526587265847</v>
      </c>
      <c r="F13" s="5">
        <f t="shared" si="0"/>
        <v>2012</v>
      </c>
      <c r="G13" s="49">
        <v>1.27</v>
      </c>
    </row>
    <row r="14" spans="1:7" x14ac:dyDescent="0.25">
      <c r="A14" s="5">
        <v>10</v>
      </c>
      <c r="B14" s="5">
        <f t="shared" si="1"/>
        <v>2032</v>
      </c>
      <c r="C14" s="20">
        <f t="shared" si="2"/>
        <v>0.73690812868627109</v>
      </c>
      <c r="D14" s="20">
        <f t="shared" si="2"/>
        <v>0.82034829987515534</v>
      </c>
      <c r="F14" s="5">
        <f t="shared" si="0"/>
        <v>2013</v>
      </c>
      <c r="G14" s="49">
        <v>1.24</v>
      </c>
    </row>
    <row r="15" spans="1:7" x14ac:dyDescent="0.25">
      <c r="A15" s="5">
        <v>11</v>
      </c>
      <c r="B15" s="5">
        <f t="shared" si="1"/>
        <v>2033</v>
      </c>
      <c r="C15" s="20">
        <f t="shared" si="2"/>
        <v>0.71475085226602442</v>
      </c>
      <c r="D15" s="20">
        <f t="shared" si="2"/>
        <v>0.80426303909328967</v>
      </c>
      <c r="F15" s="5">
        <f t="shared" si="0"/>
        <v>2014</v>
      </c>
      <c r="G15" s="49">
        <v>1.22</v>
      </c>
    </row>
    <row r="16" spans="1:7" x14ac:dyDescent="0.25">
      <c r="A16" s="5">
        <v>12</v>
      </c>
      <c r="B16" s="5">
        <f t="shared" si="1"/>
        <v>2034</v>
      </c>
      <c r="C16" s="20">
        <f t="shared" si="2"/>
        <v>0.69325979851214781</v>
      </c>
      <c r="D16" s="20">
        <f t="shared" si="2"/>
        <v>0.78849317558165644</v>
      </c>
      <c r="F16" s="5">
        <f t="shared" si="0"/>
        <v>2015</v>
      </c>
      <c r="G16" s="49">
        <v>1.21</v>
      </c>
    </row>
    <row r="17" spans="1:7" x14ac:dyDescent="0.25">
      <c r="A17" s="5">
        <v>13</v>
      </c>
      <c r="B17" s="5">
        <f t="shared" si="1"/>
        <v>2035</v>
      </c>
      <c r="C17" s="20">
        <f t="shared" si="2"/>
        <v>0.67241493551129761</v>
      </c>
      <c r="D17" s="20">
        <f t="shared" si="2"/>
        <v>0.77303252508005538</v>
      </c>
      <c r="F17" s="5">
        <f t="shared" si="0"/>
        <v>2016</v>
      </c>
      <c r="G17" s="49">
        <v>1.2</v>
      </c>
    </row>
    <row r="18" spans="1:7" x14ac:dyDescent="0.25">
      <c r="A18" s="5">
        <v>14</v>
      </c>
      <c r="B18" s="5">
        <f t="shared" si="1"/>
        <v>2036</v>
      </c>
      <c r="C18" s="20">
        <f t="shared" si="2"/>
        <v>0.65219683366760206</v>
      </c>
      <c r="D18" s="20">
        <f t="shared" si="2"/>
        <v>0.75787502458828948</v>
      </c>
      <c r="F18" s="5">
        <f t="shared" si="0"/>
        <v>2017</v>
      </c>
      <c r="G18" s="49">
        <v>1.18</v>
      </c>
    </row>
    <row r="19" spans="1:7" x14ac:dyDescent="0.25">
      <c r="A19" s="5">
        <v>15</v>
      </c>
      <c r="B19" s="5">
        <f t="shared" si="1"/>
        <v>2037</v>
      </c>
      <c r="C19" s="20">
        <f t="shared" si="2"/>
        <v>0.63258664759224259</v>
      </c>
      <c r="D19" s="20">
        <f t="shared" si="2"/>
        <v>0.74301472998851925</v>
      </c>
      <c r="F19" s="5">
        <f t="shared" si="0"/>
        <v>2018</v>
      </c>
      <c r="G19" s="49">
        <v>1.1499999999999999</v>
      </c>
    </row>
    <row r="20" spans="1:7" x14ac:dyDescent="0.25">
      <c r="A20" s="5">
        <v>16</v>
      </c>
      <c r="B20" s="5">
        <f t="shared" si="1"/>
        <v>2038</v>
      </c>
      <c r="C20" s="20">
        <f t="shared" si="2"/>
        <v>0.6135660985375776</v>
      </c>
      <c r="D20" s="20">
        <f t="shared" si="2"/>
        <v>0.72844581371423445</v>
      </c>
      <c r="F20" s="5">
        <f t="shared" si="0"/>
        <v>2019</v>
      </c>
      <c r="G20" s="49">
        <v>1.1299999999999999</v>
      </c>
    </row>
    <row r="21" spans="1:7" x14ac:dyDescent="0.25">
      <c r="A21" s="5">
        <v>17</v>
      </c>
      <c r="B21" s="5">
        <f t="shared" si="1"/>
        <v>2039</v>
      </c>
      <c r="C21" s="20">
        <f t="shared" si="2"/>
        <v>0.59511745735943511</v>
      </c>
      <c r="D21" s="20">
        <f t="shared" si="2"/>
        <v>0.7141625624649357</v>
      </c>
      <c r="F21" s="5">
        <f t="shared" si="0"/>
        <v>2020</v>
      </c>
      <c r="G21" s="49">
        <v>1.1200000000000001</v>
      </c>
    </row>
    <row r="22" spans="1:7" x14ac:dyDescent="0.25">
      <c r="A22" s="5">
        <v>18</v>
      </c>
      <c r="B22" s="5">
        <f t="shared" si="1"/>
        <v>2040</v>
      </c>
      <c r="C22" s="20">
        <f t="shared" si="2"/>
        <v>0.57722352799169274</v>
      </c>
      <c r="D22" s="20">
        <f t="shared" si="2"/>
        <v>0.7001593749656233</v>
      </c>
      <c r="F22" s="5">
        <f>F23-1</f>
        <v>2021</v>
      </c>
      <c r="G22" s="49">
        <v>1.07</v>
      </c>
    </row>
    <row r="23" spans="1:7" x14ac:dyDescent="0.25">
      <c r="A23" s="5">
        <v>19</v>
      </c>
      <c r="B23" s="5">
        <f t="shared" si="1"/>
        <v>2041</v>
      </c>
      <c r="C23" s="20">
        <f t="shared" si="2"/>
        <v>0.55986763141774276</v>
      </c>
      <c r="D23" s="20">
        <f t="shared" si="2"/>
        <v>0.68643075977021895</v>
      </c>
      <c r="F23" s="5">
        <f>B4</f>
        <v>2022</v>
      </c>
      <c r="G23" s="49">
        <v>1</v>
      </c>
    </row>
    <row r="24" spans="1:7" x14ac:dyDescent="0.25">
      <c r="A24" s="5">
        <v>20</v>
      </c>
      <c r="B24" s="5">
        <f t="shared" si="1"/>
        <v>2042</v>
      </c>
      <c r="C24" s="20">
        <f t="shared" si="2"/>
        <v>0.54303359012390184</v>
      </c>
      <c r="D24" s="20">
        <f t="shared" si="2"/>
        <v>0.67297133310805779</v>
      </c>
      <c r="F24" s="186" t="s">
        <v>117</v>
      </c>
      <c r="G24" s="186"/>
    </row>
    <row r="25" spans="1:7" x14ac:dyDescent="0.25">
      <c r="A25" s="5">
        <v>21</v>
      </c>
      <c r="B25" s="5">
        <f t="shared" si="1"/>
        <v>2043</v>
      </c>
      <c r="C25" s="20">
        <f t="shared" si="2"/>
        <v>0.52670571302027336</v>
      </c>
      <c r="D25" s="20">
        <f t="shared" si="2"/>
        <v>0.65977581677260566</v>
      </c>
    </row>
    <row r="26" spans="1:7" x14ac:dyDescent="0.25">
      <c r="A26" s="5">
        <v>22</v>
      </c>
      <c r="B26" s="5">
        <f t="shared" si="1"/>
        <v>2044</v>
      </c>
      <c r="C26" s="20">
        <f t="shared" si="2"/>
        <v>0.51086878081500819</v>
      </c>
      <c r="D26" s="20">
        <f t="shared" si="2"/>
        <v>0.64683903605157411</v>
      </c>
    </row>
    <row r="27" spans="1:7" x14ac:dyDescent="0.25">
      <c r="A27" s="5">
        <v>23</v>
      </c>
      <c r="B27" s="5">
        <f t="shared" si="1"/>
        <v>2045</v>
      </c>
      <c r="C27" s="20">
        <f t="shared" si="2"/>
        <v>0.49550803182832992</v>
      </c>
      <c r="D27" s="20">
        <f t="shared" si="2"/>
        <v>0.63415591769762181</v>
      </c>
    </row>
    <row r="28" spans="1:7" x14ac:dyDescent="0.25">
      <c r="A28" s="5">
        <v>24</v>
      </c>
      <c r="B28" s="5">
        <f t="shared" si="1"/>
        <v>2046</v>
      </c>
      <c r="C28" s="20">
        <f t="shared" si="2"/>
        <v>0.4806091482331038</v>
      </c>
      <c r="D28" s="20">
        <f t="shared" si="2"/>
        <v>0.62172148793884485</v>
      </c>
    </row>
    <row r="29" spans="1:7" x14ac:dyDescent="0.25">
      <c r="A29" s="5">
        <v>25</v>
      </c>
      <c r="B29" s="5">
        <f t="shared" si="1"/>
        <v>2047</v>
      </c>
      <c r="C29" s="20">
        <f t="shared" si="2"/>
        <v>0.46615824270912104</v>
      </c>
      <c r="D29" s="20">
        <f t="shared" si="2"/>
        <v>0.60953087052827937</v>
      </c>
    </row>
    <row r="30" spans="1:7" x14ac:dyDescent="0.25">
      <c r="A30" s="5">
        <v>26</v>
      </c>
      <c r="B30" s="5">
        <f t="shared" si="1"/>
        <v>2048</v>
      </c>
      <c r="C30" s="20">
        <f t="shared" si="2"/>
        <v>0.4521418454986626</v>
      </c>
      <c r="D30" s="20">
        <f t="shared" si="2"/>
        <v>0.59757928483164635</v>
      </c>
    </row>
    <row r="31" spans="1:7" x14ac:dyDescent="0.25">
      <c r="A31" s="5">
        <v>27</v>
      </c>
      <c r="B31" s="5">
        <f t="shared" si="1"/>
        <v>2049</v>
      </c>
      <c r="C31" s="20">
        <f t="shared" si="2"/>
        <v>0.4385468918512731</v>
      </c>
      <c r="D31" s="20">
        <f t="shared" si="2"/>
        <v>0.58586204395259456</v>
      </c>
    </row>
    <row r="32" spans="1:7" x14ac:dyDescent="0.25">
      <c r="A32" s="5">
        <v>28</v>
      </c>
      <c r="B32" s="5">
        <f t="shared" si="1"/>
        <v>2050</v>
      </c>
      <c r="C32" s="20">
        <f t="shared" si="2"/>
        <v>0.42536070984604568</v>
      </c>
      <c r="D32" s="20">
        <f t="shared" si="2"/>
        <v>0.57437455289470041</v>
      </c>
    </row>
    <row r="33" spans="1:4" x14ac:dyDescent="0.25">
      <c r="A33" s="5">
        <v>29</v>
      </c>
      <c r="B33" s="5">
        <f t="shared" si="1"/>
        <v>2051</v>
      </c>
      <c r="C33" s="20">
        <f t="shared" si="2"/>
        <v>0.41257100858006374</v>
      </c>
      <c r="D33" s="20">
        <f t="shared" si="2"/>
        <v>0.56311230675951029</v>
      </c>
    </row>
    <row r="34" spans="1:4" x14ac:dyDescent="0.25">
      <c r="A34" s="5">
        <v>30</v>
      </c>
      <c r="B34" s="5">
        <f t="shared" si="1"/>
        <v>2052</v>
      </c>
      <c r="C34" s="20">
        <f t="shared" si="2"/>
        <v>0.400165866711992</v>
      </c>
      <c r="D34" s="20">
        <f t="shared" si="2"/>
        <v>0.55207088897991197</v>
      </c>
    </row>
    <row r="35" spans="1:4" x14ac:dyDescent="0.25">
      <c r="A35" s="5">
        <v>31</v>
      </c>
      <c r="B35" s="5">
        <f t="shared" si="1"/>
        <v>2053</v>
      </c>
      <c r="C35" s="20">
        <f t="shared" si="2"/>
        <v>0.38813372135013779</v>
      </c>
      <c r="D35" s="20">
        <f t="shared" si="2"/>
        <v>0.54124596958814919</v>
      </c>
    </row>
    <row r="36" spans="1:4" x14ac:dyDescent="0.25">
      <c r="A36" s="5">
        <v>32</v>
      </c>
      <c r="B36" s="5">
        <f t="shared" si="1"/>
        <v>2054</v>
      </c>
      <c r="C36" s="20">
        <f t="shared" si="2"/>
        <v>0.37646335727462438</v>
      </c>
      <c r="D36" s="20">
        <f t="shared" si="2"/>
        <v>0.53063330351779314</v>
      </c>
    </row>
    <row r="37" spans="1:4" x14ac:dyDescent="0.25">
      <c r="A37" s="5">
        <v>33</v>
      </c>
      <c r="B37" s="5">
        <f t="shared" si="1"/>
        <v>2055</v>
      </c>
      <c r="C37" s="20">
        <f t="shared" si="2"/>
        <v>0.36514389648363188</v>
      </c>
      <c r="D37" s="20">
        <f t="shared" si="2"/>
        <v>0.52022872893901284</v>
      </c>
    </row>
    <row r="38" spans="1:4" x14ac:dyDescent="0.25">
      <c r="A38" s="5">
        <v>34</v>
      </c>
      <c r="B38" s="5">
        <f t="shared" si="1"/>
        <v>2056</v>
      </c>
      <c r="C38" s="20">
        <f t="shared" si="2"/>
        <v>0.35416478805395912</v>
      </c>
      <c r="D38" s="20">
        <f t="shared" si="2"/>
        <v>0.51002816562648323</v>
      </c>
    </row>
    <row r="39" spans="1:4" x14ac:dyDescent="0.25">
      <c r="A39" s="5">
        <v>35</v>
      </c>
      <c r="B39" s="5">
        <f t="shared" si="1"/>
        <v>2057</v>
      </c>
      <c r="C39" s="20">
        <f t="shared" si="2"/>
        <v>0.34351579830645895</v>
      </c>
      <c r="D39" s="20">
        <f t="shared" si="2"/>
        <v>0.50002761335929735</v>
      </c>
    </row>
    <row r="40" spans="1:4" x14ac:dyDescent="0.25">
      <c r="A40" s="5">
        <v>36</v>
      </c>
      <c r="B40" s="5">
        <f t="shared" si="1"/>
        <v>2058</v>
      </c>
      <c r="C40" s="20">
        <f t="shared" si="2"/>
        <v>0.33318700126717649</v>
      </c>
      <c r="D40" s="20">
        <f t="shared" si="2"/>
        <v>0.49022315035225233</v>
      </c>
    </row>
    <row r="41" spans="1:4" x14ac:dyDescent="0.25">
      <c r="A41" s="5">
        <v>37</v>
      </c>
      <c r="B41" s="5">
        <f t="shared" si="1"/>
        <v>2059</v>
      </c>
      <c r="C41" s="20">
        <f t="shared" si="2"/>
        <v>0.32316876941530209</v>
      </c>
      <c r="D41" s="20">
        <f t="shared" si="2"/>
        <v>0.48061093171789437</v>
      </c>
    </row>
    <row r="42" spans="1:4" x14ac:dyDescent="0.25">
      <c r="A42" s="5">
        <v>38</v>
      </c>
      <c r="B42" s="5">
        <f t="shared" si="1"/>
        <v>2060</v>
      </c>
      <c r="C42" s="20">
        <f t="shared" si="2"/>
        <v>0.31345176470931341</v>
      </c>
      <c r="D42" s="20">
        <f t="shared" si="2"/>
        <v>0.47118718795871989</v>
      </c>
    </row>
    <row r="43" spans="1:4" x14ac:dyDescent="0.25">
      <c r="A43" s="5">
        <v>39</v>
      </c>
      <c r="B43" s="5">
        <f t="shared" si="1"/>
        <v>2061</v>
      </c>
      <c r="C43" s="20">
        <f t="shared" si="2"/>
        <v>0.30402692988294228</v>
      </c>
      <c r="D43" s="20">
        <f t="shared" si="2"/>
        <v>0.46194822348894127</v>
      </c>
    </row>
    <row r="44" spans="1:4" x14ac:dyDescent="0.25">
      <c r="A44" s="5">
        <v>40</v>
      </c>
      <c r="B44" s="5">
        <f t="shared" si="1"/>
        <v>2062</v>
      </c>
      <c r="C44" s="20">
        <f t="shared" si="2"/>
        <v>0.29488548000285381</v>
      </c>
      <c r="D44" s="20">
        <f t="shared" si="2"/>
        <v>0.45289041518523643</v>
      </c>
    </row>
  </sheetData>
  <mergeCells count="3">
    <mergeCell ref="F2:G2"/>
    <mergeCell ref="F24:G24"/>
    <mergeCell ref="A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858AE-3EEA-4080-ACD3-29F53B0282A8}">
  <dimension ref="A3:L48"/>
  <sheetViews>
    <sheetView workbookViewId="0">
      <selection activeCell="E13" sqref="E13"/>
    </sheetView>
  </sheetViews>
  <sheetFormatPr defaultRowHeight="15" x14ac:dyDescent="0.25"/>
  <cols>
    <col min="1" max="1" width="24.5703125" customWidth="1"/>
    <col min="2" max="2" width="18.42578125" customWidth="1"/>
    <col min="3" max="3" width="14.5703125" customWidth="1"/>
    <col min="4" max="4" width="12" bestFit="1" customWidth="1"/>
    <col min="5" max="5" width="9.28515625" customWidth="1"/>
    <col min="8" max="8" width="58" customWidth="1"/>
    <col min="11" max="11" width="14.28515625" customWidth="1"/>
    <col min="12" max="12" width="17.7109375" customWidth="1"/>
  </cols>
  <sheetData>
    <row r="3" spans="1:12" ht="18" x14ac:dyDescent="0.25">
      <c r="A3" s="5" t="s">
        <v>118</v>
      </c>
      <c r="B3" s="16">
        <f>L37</f>
        <v>18887540</v>
      </c>
      <c r="G3" s="190" t="s">
        <v>277</v>
      </c>
      <c r="H3" s="190"/>
      <c r="I3" s="190"/>
      <c r="J3" s="190"/>
      <c r="K3" s="190"/>
      <c r="L3" s="190"/>
    </row>
    <row r="4" spans="1:12" ht="18" x14ac:dyDescent="0.25">
      <c r="A4" s="5" t="s">
        <v>391</v>
      </c>
      <c r="B4" s="18">
        <v>2025</v>
      </c>
      <c r="G4" s="190" t="s">
        <v>231</v>
      </c>
      <c r="H4" s="190"/>
      <c r="I4" s="190"/>
      <c r="J4" s="190"/>
      <c r="K4" s="190"/>
      <c r="L4" s="190"/>
    </row>
    <row r="5" spans="1:12" ht="18" x14ac:dyDescent="0.25">
      <c r="A5" s="5" t="s">
        <v>278</v>
      </c>
      <c r="B5" s="18">
        <v>2028</v>
      </c>
      <c r="G5" s="190" t="s">
        <v>232</v>
      </c>
      <c r="H5" s="190"/>
      <c r="I5" s="190"/>
      <c r="J5" s="190"/>
      <c r="K5" s="190"/>
      <c r="L5" s="190"/>
    </row>
    <row r="6" spans="1:12" ht="18" x14ac:dyDescent="0.25">
      <c r="G6" s="191">
        <v>45322</v>
      </c>
      <c r="H6" s="191"/>
      <c r="I6" s="191"/>
      <c r="J6" s="191"/>
      <c r="K6" s="191"/>
      <c r="L6" s="191"/>
    </row>
    <row r="7" spans="1:12" x14ac:dyDescent="0.25">
      <c r="A7" s="168" t="s">
        <v>119</v>
      </c>
      <c r="B7" s="168"/>
      <c r="C7" s="168"/>
      <c r="D7" s="168"/>
      <c r="G7" s="192" t="s">
        <v>233</v>
      </c>
      <c r="H7" s="192"/>
      <c r="I7" s="192"/>
      <c r="J7" s="192"/>
      <c r="K7" s="192"/>
      <c r="L7" s="192"/>
    </row>
    <row r="8" spans="1:12" ht="30" x14ac:dyDescent="0.25">
      <c r="A8" s="14" t="s">
        <v>80</v>
      </c>
      <c r="B8" s="15" t="s">
        <v>190</v>
      </c>
      <c r="C8" s="15" t="s">
        <v>120</v>
      </c>
      <c r="D8" s="14" t="s">
        <v>121</v>
      </c>
      <c r="G8" s="94" t="s">
        <v>234</v>
      </c>
      <c r="H8" s="95" t="s">
        <v>235</v>
      </c>
      <c r="I8" s="94" t="s">
        <v>236</v>
      </c>
      <c r="J8" s="94" t="s">
        <v>237</v>
      </c>
      <c r="K8" s="94" t="s">
        <v>238</v>
      </c>
      <c r="L8" s="94" t="s">
        <v>239</v>
      </c>
    </row>
    <row r="9" spans="1:12" x14ac:dyDescent="0.25">
      <c r="A9" s="5">
        <f>'Capital Costs'!B4</f>
        <v>2025</v>
      </c>
      <c r="B9" s="65">
        <v>0.25</v>
      </c>
      <c r="C9" s="16">
        <f>$B$3*$B9</f>
        <v>4721885</v>
      </c>
      <c r="D9" s="16">
        <f>C9*VLOOKUP($A9,NPV!$B$3:$D$44,3,FALSE)</f>
        <v>4449537.6966626719</v>
      </c>
      <c r="E9" s="74"/>
      <c r="G9" s="96">
        <v>1</v>
      </c>
      <c r="H9" s="97" t="s">
        <v>240</v>
      </c>
      <c r="I9" s="96" t="s">
        <v>241</v>
      </c>
      <c r="J9" s="96">
        <v>965</v>
      </c>
      <c r="K9" s="98">
        <v>2500</v>
      </c>
      <c r="L9" s="99">
        <f>K9*J9</f>
        <v>2412500</v>
      </c>
    </row>
    <row r="10" spans="1:12" x14ac:dyDescent="0.25">
      <c r="A10" s="5">
        <f>A9+1</f>
        <v>2026</v>
      </c>
      <c r="B10" s="65">
        <v>0.5</v>
      </c>
      <c r="C10" s="16">
        <f t="shared" ref="C10:C30" si="0">$B$3*$B10</f>
        <v>9443770</v>
      </c>
      <c r="D10" s="16">
        <f>C10*VLOOKUP($A10,NPV!$B$3:$D$44,3,FALSE)</f>
        <v>8724583.7189464141</v>
      </c>
      <c r="G10" s="96">
        <v>2</v>
      </c>
      <c r="H10" s="97" t="s">
        <v>242</v>
      </c>
      <c r="I10" s="96" t="s">
        <v>243</v>
      </c>
      <c r="J10" s="96">
        <v>603</v>
      </c>
      <c r="K10" s="98">
        <v>2000</v>
      </c>
      <c r="L10" s="99">
        <f>K10*J10</f>
        <v>1206000</v>
      </c>
    </row>
    <row r="11" spans="1:12" x14ac:dyDescent="0.25">
      <c r="A11" s="5">
        <f t="shared" ref="A11:A30" si="1">A10+1</f>
        <v>2027</v>
      </c>
      <c r="B11" s="65">
        <v>0.25</v>
      </c>
      <c r="C11" s="16">
        <f t="shared" si="0"/>
        <v>4721885</v>
      </c>
      <c r="D11" s="16">
        <f>C11*VLOOKUP($A11,NPV!$B$3:$D$44,3,FALSE)</f>
        <v>4276756.7249737326</v>
      </c>
      <c r="G11" s="96">
        <v>3</v>
      </c>
      <c r="H11" s="97" t="s">
        <v>244</v>
      </c>
      <c r="I11" s="96" t="s">
        <v>245</v>
      </c>
      <c r="J11" s="96">
        <v>2100</v>
      </c>
      <c r="K11" s="98">
        <v>100</v>
      </c>
      <c r="L11" s="99">
        <f t="shared" ref="L11:L15" si="2">K11*J11</f>
        <v>210000</v>
      </c>
    </row>
    <row r="12" spans="1:12" x14ac:dyDescent="0.25">
      <c r="A12" s="5">
        <f t="shared" si="1"/>
        <v>2028</v>
      </c>
      <c r="B12" s="65"/>
      <c r="C12" s="16">
        <f t="shared" si="0"/>
        <v>0</v>
      </c>
      <c r="D12" s="16">
        <f>C12*VLOOKUP($A12,NPV!$B$3:$D$44,3,FALSE)</f>
        <v>0</v>
      </c>
      <c r="G12" s="96">
        <v>4</v>
      </c>
      <c r="H12" s="97" t="s">
        <v>246</v>
      </c>
      <c r="I12" s="96" t="s">
        <v>245</v>
      </c>
      <c r="J12" s="96">
        <v>1820</v>
      </c>
      <c r="K12" s="98">
        <v>2000</v>
      </c>
      <c r="L12" s="99">
        <f t="shared" si="2"/>
        <v>3640000</v>
      </c>
    </row>
    <row r="13" spans="1:12" x14ac:dyDescent="0.25">
      <c r="A13" s="5">
        <f t="shared" si="1"/>
        <v>2029</v>
      </c>
      <c r="B13" s="65"/>
      <c r="C13" s="16">
        <f t="shared" si="0"/>
        <v>0</v>
      </c>
      <c r="D13" s="16">
        <f>C13*VLOOKUP($A13,NPV!$B$3:$D$44,3,FALSE)</f>
        <v>0</v>
      </c>
      <c r="G13" s="96">
        <v>5</v>
      </c>
      <c r="H13" s="97" t="s">
        <v>247</v>
      </c>
      <c r="I13" s="100" t="s">
        <v>248</v>
      </c>
      <c r="J13" s="100">
        <v>1500</v>
      </c>
      <c r="K13" s="101">
        <v>400</v>
      </c>
      <c r="L13" s="102">
        <f t="shared" si="2"/>
        <v>600000</v>
      </c>
    </row>
    <row r="14" spans="1:12" x14ac:dyDescent="0.25">
      <c r="A14" s="5">
        <f t="shared" si="1"/>
        <v>2030</v>
      </c>
      <c r="B14" s="65"/>
      <c r="C14" s="16">
        <f t="shared" si="0"/>
        <v>0</v>
      </c>
      <c r="D14" s="16">
        <f>C14*VLOOKUP($A14,NPV!$B$3:$D$44,3,FALSE)</f>
        <v>0</v>
      </c>
      <c r="G14" s="96">
        <v>6</v>
      </c>
      <c r="H14" s="97" t="s">
        <v>249</v>
      </c>
      <c r="I14" s="96" t="s">
        <v>248</v>
      </c>
      <c r="J14" s="96">
        <v>1285</v>
      </c>
      <c r="K14" s="98">
        <v>600</v>
      </c>
      <c r="L14" s="99">
        <f t="shared" si="2"/>
        <v>771000</v>
      </c>
    </row>
    <row r="15" spans="1:12" x14ac:dyDescent="0.25">
      <c r="A15" s="5">
        <f t="shared" si="1"/>
        <v>2031</v>
      </c>
      <c r="B15" s="65"/>
      <c r="C15" s="16">
        <f t="shared" si="0"/>
        <v>0</v>
      </c>
      <c r="D15" s="16">
        <f>C15*VLOOKUP($A15,NPV!$B$3:$D$44,3,FALSE)</f>
        <v>0</v>
      </c>
      <c r="G15" s="96">
        <v>7</v>
      </c>
      <c r="H15" s="97" t="s">
        <v>250</v>
      </c>
      <c r="I15" s="96" t="s">
        <v>251</v>
      </c>
      <c r="J15" s="96">
        <v>1</v>
      </c>
      <c r="K15" s="98">
        <v>50000</v>
      </c>
      <c r="L15" s="99">
        <f t="shared" si="2"/>
        <v>50000</v>
      </c>
    </row>
    <row r="16" spans="1:12" x14ac:dyDescent="0.25">
      <c r="A16" s="5">
        <f t="shared" si="1"/>
        <v>2032</v>
      </c>
      <c r="B16" s="65"/>
      <c r="C16" s="16">
        <f t="shared" si="0"/>
        <v>0</v>
      </c>
      <c r="D16" s="16">
        <f>C16*VLOOKUP($A16,NPV!$B$3:$D$44,3,FALSE)</f>
        <v>0</v>
      </c>
      <c r="G16" s="96">
        <v>8</v>
      </c>
      <c r="H16" s="97" t="s">
        <v>252</v>
      </c>
      <c r="I16" s="96" t="s">
        <v>243</v>
      </c>
      <c r="J16" s="96">
        <v>22</v>
      </c>
      <c r="K16" s="98">
        <v>1250</v>
      </c>
      <c r="L16" s="99">
        <f>K16*J16</f>
        <v>27500</v>
      </c>
    </row>
    <row r="17" spans="1:12" x14ac:dyDescent="0.25">
      <c r="A17" s="5">
        <f t="shared" si="1"/>
        <v>2033</v>
      </c>
      <c r="B17" s="65"/>
      <c r="C17" s="16">
        <f t="shared" si="0"/>
        <v>0</v>
      </c>
      <c r="D17" s="16">
        <f>C17*VLOOKUP($A17,NPV!$B$3:$D$44,3,FALSE)</f>
        <v>0</v>
      </c>
      <c r="G17" s="96">
        <v>9</v>
      </c>
      <c r="H17" s="97" t="s">
        <v>253</v>
      </c>
      <c r="I17" s="96" t="s">
        <v>248</v>
      </c>
      <c r="J17" s="96">
        <v>1154</v>
      </c>
      <c r="K17" s="98">
        <v>100</v>
      </c>
      <c r="L17" s="99">
        <f>K17*J17</f>
        <v>115400</v>
      </c>
    </row>
    <row r="18" spans="1:12" x14ac:dyDescent="0.25">
      <c r="A18" s="5">
        <f t="shared" si="1"/>
        <v>2034</v>
      </c>
      <c r="B18" s="65"/>
      <c r="C18" s="16">
        <f t="shared" si="0"/>
        <v>0</v>
      </c>
      <c r="D18" s="16">
        <f>C18*VLOOKUP($A18,NPV!$B$3:$D$44,3,FALSE)</f>
        <v>0</v>
      </c>
      <c r="G18" s="96">
        <v>10</v>
      </c>
      <c r="H18" s="103" t="s">
        <v>254</v>
      </c>
      <c r="I18" s="100" t="s">
        <v>248</v>
      </c>
      <c r="J18" s="100">
        <v>196</v>
      </c>
      <c r="K18" s="101">
        <v>200</v>
      </c>
      <c r="L18" s="102">
        <f>K18*J18</f>
        <v>39200</v>
      </c>
    </row>
    <row r="19" spans="1:12" x14ac:dyDescent="0.25">
      <c r="A19" s="5">
        <f t="shared" si="1"/>
        <v>2035</v>
      </c>
      <c r="B19" s="65"/>
      <c r="C19" s="16">
        <f t="shared" si="0"/>
        <v>0</v>
      </c>
      <c r="D19" s="16">
        <f>C19*VLOOKUP($A19,NPV!$B$3:$D$44,3,FALSE)</f>
        <v>0</v>
      </c>
      <c r="G19" s="96">
        <v>11</v>
      </c>
      <c r="H19" s="97" t="s">
        <v>255</v>
      </c>
      <c r="I19" s="100" t="s">
        <v>243</v>
      </c>
      <c r="J19" s="100">
        <v>120</v>
      </c>
      <c r="K19" s="101">
        <v>30000</v>
      </c>
      <c r="L19" s="102">
        <f t="shared" ref="L19:L30" si="3">K19*J19</f>
        <v>3600000</v>
      </c>
    </row>
    <row r="20" spans="1:12" x14ac:dyDescent="0.25">
      <c r="A20" s="5">
        <f t="shared" si="1"/>
        <v>2036</v>
      </c>
      <c r="B20" s="65"/>
      <c r="C20" s="16">
        <f t="shared" si="0"/>
        <v>0</v>
      </c>
      <c r="D20" s="16">
        <f>C20*VLOOKUP($A20,NPV!$B$3:$D$44,3,FALSE)</f>
        <v>0</v>
      </c>
      <c r="G20" s="96">
        <v>12</v>
      </c>
      <c r="H20" s="97" t="s">
        <v>256</v>
      </c>
      <c r="I20" s="100" t="s">
        <v>243</v>
      </c>
      <c r="J20" s="100">
        <v>8</v>
      </c>
      <c r="K20" s="101">
        <v>10000</v>
      </c>
      <c r="L20" s="102">
        <f t="shared" si="3"/>
        <v>80000</v>
      </c>
    </row>
    <row r="21" spans="1:12" x14ac:dyDescent="0.25">
      <c r="A21" s="5">
        <f t="shared" si="1"/>
        <v>2037</v>
      </c>
      <c r="B21" s="65"/>
      <c r="C21" s="16">
        <f t="shared" si="0"/>
        <v>0</v>
      </c>
      <c r="D21" s="16">
        <f>C21*VLOOKUP($A21,NPV!$B$3:$D$44,3,FALSE)</f>
        <v>0</v>
      </c>
      <c r="G21" s="96">
        <v>13</v>
      </c>
      <c r="H21" s="97" t="s">
        <v>257</v>
      </c>
      <c r="I21" s="100" t="s">
        <v>245</v>
      </c>
      <c r="J21" s="100">
        <v>900</v>
      </c>
      <c r="K21" s="101">
        <v>120</v>
      </c>
      <c r="L21" s="102">
        <f t="shared" si="3"/>
        <v>108000</v>
      </c>
    </row>
    <row r="22" spans="1:12" x14ac:dyDescent="0.25">
      <c r="A22" s="5">
        <f t="shared" si="1"/>
        <v>2038</v>
      </c>
      <c r="B22" s="65"/>
      <c r="C22" s="16">
        <f t="shared" si="0"/>
        <v>0</v>
      </c>
      <c r="D22" s="16">
        <f>C22*VLOOKUP($A22,NPV!$B$3:$D$44,3,FALSE)</f>
        <v>0</v>
      </c>
      <c r="G22" s="96">
        <v>14</v>
      </c>
      <c r="H22" s="97" t="s">
        <v>258</v>
      </c>
      <c r="I22" s="100" t="s">
        <v>259</v>
      </c>
      <c r="J22" s="100">
        <v>110</v>
      </c>
      <c r="K22" s="101">
        <v>150</v>
      </c>
      <c r="L22" s="102">
        <f t="shared" si="3"/>
        <v>16500</v>
      </c>
    </row>
    <row r="23" spans="1:12" x14ac:dyDescent="0.25">
      <c r="A23" s="5">
        <f t="shared" si="1"/>
        <v>2039</v>
      </c>
      <c r="B23" s="65"/>
      <c r="C23" s="16">
        <f t="shared" si="0"/>
        <v>0</v>
      </c>
      <c r="D23" s="16">
        <f>C23*VLOOKUP($A23,NPV!$B$3:$D$44,3,FALSE)</f>
        <v>0</v>
      </c>
      <c r="G23" s="96">
        <v>15</v>
      </c>
      <c r="H23" s="97" t="s">
        <v>260</v>
      </c>
      <c r="I23" s="100" t="s">
        <v>245</v>
      </c>
      <c r="J23" s="100">
        <v>30</v>
      </c>
      <c r="K23" s="101">
        <v>100</v>
      </c>
      <c r="L23" s="102">
        <f t="shared" si="3"/>
        <v>3000</v>
      </c>
    </row>
    <row r="24" spans="1:12" x14ac:dyDescent="0.25">
      <c r="A24" s="5">
        <f t="shared" si="1"/>
        <v>2040</v>
      </c>
      <c r="B24" s="65"/>
      <c r="C24" s="16">
        <f t="shared" si="0"/>
        <v>0</v>
      </c>
      <c r="D24" s="16">
        <f>C24*VLOOKUP($A24,NPV!$B$3:$D$44,3,FALSE)</f>
        <v>0</v>
      </c>
      <c r="G24" s="96">
        <v>16</v>
      </c>
      <c r="H24" s="97" t="s">
        <v>261</v>
      </c>
      <c r="I24" s="100" t="s">
        <v>245</v>
      </c>
      <c r="J24" s="100">
        <v>150</v>
      </c>
      <c r="K24" s="101">
        <v>180</v>
      </c>
      <c r="L24" s="102">
        <f t="shared" si="3"/>
        <v>27000</v>
      </c>
    </row>
    <row r="25" spans="1:12" x14ac:dyDescent="0.25">
      <c r="A25" s="5">
        <f t="shared" si="1"/>
        <v>2041</v>
      </c>
      <c r="B25" s="65"/>
      <c r="C25" s="16">
        <f t="shared" si="0"/>
        <v>0</v>
      </c>
      <c r="D25" s="16">
        <f>C25*VLOOKUP($A25,NPV!$B$3:$D$44,3,FALSE)</f>
        <v>0</v>
      </c>
      <c r="G25" s="96">
        <v>17</v>
      </c>
      <c r="H25" s="97" t="s">
        <v>262</v>
      </c>
      <c r="I25" s="100" t="s">
        <v>241</v>
      </c>
      <c r="J25" s="100">
        <v>72</v>
      </c>
      <c r="K25" s="101">
        <v>2500</v>
      </c>
      <c r="L25" s="102">
        <f t="shared" si="3"/>
        <v>180000</v>
      </c>
    </row>
    <row r="26" spans="1:12" x14ac:dyDescent="0.25">
      <c r="A26" s="5">
        <f t="shared" si="1"/>
        <v>2042</v>
      </c>
      <c r="B26" s="65"/>
      <c r="C26" s="16">
        <f t="shared" si="0"/>
        <v>0</v>
      </c>
      <c r="D26" s="16">
        <f>C26*VLOOKUP($A26,NPV!$B$3:$D$44,3,FALSE)</f>
        <v>0</v>
      </c>
      <c r="G26" s="96">
        <v>18</v>
      </c>
      <c r="H26" s="97" t="s">
        <v>263</v>
      </c>
      <c r="I26" s="100" t="s">
        <v>243</v>
      </c>
      <c r="J26" s="100">
        <v>12</v>
      </c>
      <c r="K26" s="101">
        <v>6000</v>
      </c>
      <c r="L26" s="102">
        <f t="shared" si="3"/>
        <v>72000</v>
      </c>
    </row>
    <row r="27" spans="1:12" x14ac:dyDescent="0.25">
      <c r="A27" s="5">
        <f t="shared" si="1"/>
        <v>2043</v>
      </c>
      <c r="B27" s="65"/>
      <c r="C27" s="16">
        <f t="shared" si="0"/>
        <v>0</v>
      </c>
      <c r="D27" s="16">
        <f>C27*VLOOKUP($A27,NPV!$B$3:$D$44,3,FALSE)</f>
        <v>0</v>
      </c>
      <c r="G27" s="96">
        <v>19</v>
      </c>
      <c r="H27" s="97" t="s">
        <v>264</v>
      </c>
      <c r="I27" s="100" t="s">
        <v>245</v>
      </c>
      <c r="J27" s="100">
        <v>120</v>
      </c>
      <c r="K27" s="101">
        <v>2000</v>
      </c>
      <c r="L27" s="102">
        <f t="shared" si="3"/>
        <v>240000</v>
      </c>
    </row>
    <row r="28" spans="1:12" x14ac:dyDescent="0.25">
      <c r="A28" s="5">
        <f t="shared" si="1"/>
        <v>2044</v>
      </c>
      <c r="B28" s="65"/>
      <c r="C28" s="16">
        <f t="shared" si="0"/>
        <v>0</v>
      </c>
      <c r="D28" s="16">
        <f>C28*VLOOKUP($A28,NPV!$B$3:$D$44,3,FALSE)</f>
        <v>0</v>
      </c>
      <c r="G28" s="96">
        <v>20</v>
      </c>
      <c r="H28" s="97" t="s">
        <v>265</v>
      </c>
      <c r="I28" s="100" t="s">
        <v>243</v>
      </c>
      <c r="J28" s="100">
        <v>6</v>
      </c>
      <c r="K28" s="101">
        <v>7500</v>
      </c>
      <c r="L28" s="102">
        <f t="shared" si="3"/>
        <v>45000</v>
      </c>
    </row>
    <row r="29" spans="1:12" x14ac:dyDescent="0.25">
      <c r="A29" s="5">
        <f t="shared" si="1"/>
        <v>2045</v>
      </c>
      <c r="B29" s="65"/>
      <c r="C29" s="16">
        <f t="shared" si="0"/>
        <v>0</v>
      </c>
      <c r="D29" s="16">
        <f>C29*VLOOKUP($A29,NPV!$B$3:$D$44,3,FALSE)</f>
        <v>0</v>
      </c>
      <c r="G29" s="96">
        <v>21</v>
      </c>
      <c r="H29" s="97" t="s">
        <v>266</v>
      </c>
      <c r="I29" s="100" t="s">
        <v>245</v>
      </c>
      <c r="J29" s="100">
        <v>30</v>
      </c>
      <c r="K29" s="101">
        <v>1200</v>
      </c>
      <c r="L29" s="102">
        <f t="shared" si="3"/>
        <v>36000</v>
      </c>
    </row>
    <row r="30" spans="1:12" x14ac:dyDescent="0.25">
      <c r="A30" s="5">
        <f t="shared" si="1"/>
        <v>2046</v>
      </c>
      <c r="B30" s="65"/>
      <c r="C30" s="16">
        <f t="shared" si="0"/>
        <v>0</v>
      </c>
      <c r="D30" s="16">
        <f>C30*VLOOKUP($A30,NPV!$B$3:$D$44,3,FALSE)</f>
        <v>0</v>
      </c>
      <c r="G30" s="96">
        <v>22</v>
      </c>
      <c r="H30" s="97" t="s">
        <v>267</v>
      </c>
      <c r="I30" s="100" t="s">
        <v>245</v>
      </c>
      <c r="J30" s="100">
        <v>30</v>
      </c>
      <c r="K30" s="101">
        <v>400</v>
      </c>
      <c r="L30" s="102">
        <f t="shared" si="3"/>
        <v>12000</v>
      </c>
    </row>
    <row r="31" spans="1:12" x14ac:dyDescent="0.25">
      <c r="A31" s="11" t="s">
        <v>44</v>
      </c>
      <c r="B31" s="66">
        <f>SUM(B9:B30)</f>
        <v>1</v>
      </c>
      <c r="C31" s="39">
        <f>SUBTOTAL(9,C9:C30)</f>
        <v>18887540</v>
      </c>
      <c r="D31" s="39">
        <f>SUBTOTAL(9,D9:D30)</f>
        <v>17450878.140582819</v>
      </c>
      <c r="G31" s="94"/>
      <c r="H31" s="104" t="s">
        <v>268</v>
      </c>
      <c r="I31" s="187"/>
      <c r="J31" s="187"/>
      <c r="K31" s="187"/>
      <c r="L31" s="105">
        <f>SUM(L9:L30)</f>
        <v>13491100</v>
      </c>
    </row>
    <row r="32" spans="1:12" ht="15.75" thickBot="1" x14ac:dyDescent="0.3">
      <c r="G32" s="188" t="s">
        <v>269</v>
      </c>
      <c r="H32" s="188"/>
      <c r="I32" s="188"/>
      <c r="J32" s="188"/>
      <c r="K32" s="188"/>
      <c r="L32" s="188"/>
    </row>
    <row r="33" spans="7:12" ht="15.75" thickTop="1" x14ac:dyDescent="0.25">
      <c r="G33" s="106"/>
      <c r="H33" s="107" t="s">
        <v>268</v>
      </c>
      <c r="I33" s="106"/>
      <c r="J33" s="106"/>
      <c r="K33" s="108"/>
      <c r="L33" s="108">
        <f>L31</f>
        <v>13491100</v>
      </c>
    </row>
    <row r="34" spans="7:12" x14ac:dyDescent="0.25">
      <c r="G34" s="106"/>
      <c r="H34" s="107"/>
      <c r="I34" s="106"/>
      <c r="J34" s="109"/>
      <c r="K34" s="108"/>
      <c r="L34" s="110"/>
    </row>
    <row r="35" spans="7:12" x14ac:dyDescent="0.25">
      <c r="G35" s="106"/>
      <c r="H35" s="107" t="s">
        <v>270</v>
      </c>
      <c r="I35" s="94" t="s">
        <v>271</v>
      </c>
      <c r="J35" s="109">
        <v>0.1</v>
      </c>
      <c r="K35" s="108"/>
      <c r="L35" s="110">
        <f>J35*$L$33</f>
        <v>1349110</v>
      </c>
    </row>
    <row r="36" spans="7:12" x14ac:dyDescent="0.25">
      <c r="G36" s="106"/>
      <c r="H36" s="107" t="s">
        <v>272</v>
      </c>
      <c r="I36" s="94" t="s">
        <v>271</v>
      </c>
      <c r="J36" s="109">
        <v>0.3</v>
      </c>
      <c r="K36" s="108"/>
      <c r="L36" s="110">
        <f>J36*$L$33</f>
        <v>4047330</v>
      </c>
    </row>
    <row r="37" spans="7:12" x14ac:dyDescent="0.25">
      <c r="G37" s="106"/>
      <c r="H37" s="111" t="s">
        <v>44</v>
      </c>
      <c r="I37" s="112" t="s">
        <v>248</v>
      </c>
      <c r="J37" s="112">
        <v>1500</v>
      </c>
      <c r="K37" s="113">
        <f>L37/J37</f>
        <v>12591.693333333333</v>
      </c>
      <c r="L37" s="113">
        <f>SUM(L33:L36)</f>
        <v>18887540</v>
      </c>
    </row>
    <row r="38" spans="7:12" x14ac:dyDescent="0.25">
      <c r="G38" s="106"/>
      <c r="H38" s="114"/>
      <c r="I38" s="106"/>
      <c r="J38" s="106"/>
      <c r="K38" s="108"/>
      <c r="L38" s="108"/>
    </row>
    <row r="39" spans="7:12" x14ac:dyDescent="0.25">
      <c r="G39" s="187"/>
      <c r="H39" s="187"/>
      <c r="I39" s="187"/>
      <c r="J39" s="187"/>
      <c r="K39" s="187"/>
      <c r="L39" s="187"/>
    </row>
    <row r="40" spans="7:12" x14ac:dyDescent="0.25">
      <c r="G40" s="189" t="s">
        <v>273</v>
      </c>
      <c r="H40" s="189"/>
      <c r="I40" s="189"/>
      <c r="J40" s="189"/>
      <c r="K40" s="189"/>
      <c r="L40" s="189"/>
    </row>
    <row r="41" spans="7:12" x14ac:dyDescent="0.25">
      <c r="G41" s="189"/>
      <c r="H41" s="189"/>
      <c r="I41" s="189"/>
      <c r="J41" s="189"/>
      <c r="K41" s="189"/>
      <c r="L41" s="189"/>
    </row>
    <row r="42" spans="7:12" x14ac:dyDescent="0.25">
      <c r="G42" s="189"/>
      <c r="H42" s="189"/>
      <c r="I42" s="189"/>
      <c r="J42" s="189"/>
      <c r="K42" s="189"/>
      <c r="L42" s="189"/>
    </row>
    <row r="43" spans="7:12" x14ac:dyDescent="0.25">
      <c r="G43" s="189"/>
      <c r="H43" s="189"/>
      <c r="I43" s="189"/>
      <c r="J43" s="189"/>
      <c r="K43" s="189"/>
      <c r="L43" s="189"/>
    </row>
    <row r="44" spans="7:12" x14ac:dyDescent="0.25">
      <c r="G44" s="115"/>
      <c r="H44" s="116"/>
      <c r="I44" s="116"/>
      <c r="J44" s="115"/>
      <c r="K44" s="116"/>
      <c r="L44" s="116"/>
    </row>
    <row r="45" spans="7:12" x14ac:dyDescent="0.25">
      <c r="G45" s="117" t="s">
        <v>274</v>
      </c>
      <c r="H45" s="116"/>
      <c r="I45" s="116"/>
      <c r="J45" s="115"/>
      <c r="K45" s="116"/>
      <c r="L45" s="116"/>
    </row>
    <row r="46" spans="7:12" x14ac:dyDescent="0.25">
      <c r="G46" s="116" t="s">
        <v>275</v>
      </c>
      <c r="I46" s="116"/>
      <c r="J46" s="115"/>
      <c r="K46" s="116"/>
      <c r="L46" s="116"/>
    </row>
    <row r="47" spans="7:12" x14ac:dyDescent="0.25">
      <c r="G47" s="116" t="s">
        <v>276</v>
      </c>
      <c r="I47" s="116"/>
      <c r="J47" s="115"/>
      <c r="K47" s="116"/>
      <c r="L47" s="116"/>
    </row>
    <row r="48" spans="7:12" x14ac:dyDescent="0.25">
      <c r="G48" s="116" t="s">
        <v>354</v>
      </c>
      <c r="I48" s="116"/>
      <c r="J48" s="115"/>
      <c r="K48" s="116"/>
      <c r="L48" s="116"/>
    </row>
  </sheetData>
  <mergeCells count="10">
    <mergeCell ref="G3:L3"/>
    <mergeCell ref="G4:L4"/>
    <mergeCell ref="G5:L5"/>
    <mergeCell ref="G6:L6"/>
    <mergeCell ref="G7:L7"/>
    <mergeCell ref="I31:K31"/>
    <mergeCell ref="G32:L32"/>
    <mergeCell ref="G39:L39"/>
    <mergeCell ref="G40:L43"/>
    <mergeCell ref="A7: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26E6A-DB75-4D4A-BD31-651222654C0B}">
  <sheetPr>
    <tabColor theme="8" tint="0.79998168889431442"/>
  </sheetPr>
  <dimension ref="A2:AJ124"/>
  <sheetViews>
    <sheetView zoomScale="145" zoomScaleNormal="145" workbookViewId="0">
      <selection activeCell="G6" sqref="G6"/>
    </sheetView>
  </sheetViews>
  <sheetFormatPr defaultRowHeight="15" x14ac:dyDescent="0.25"/>
  <cols>
    <col min="1" max="1" width="46" customWidth="1"/>
    <col min="2" max="2" width="18.85546875" bestFit="1" customWidth="1"/>
    <col min="3" max="3" width="11.7109375" customWidth="1"/>
    <col min="4" max="4" width="14.7109375" customWidth="1"/>
    <col min="5" max="5" width="17" customWidth="1"/>
    <col min="6" max="6" width="25" customWidth="1"/>
    <col min="7" max="7" width="22" customWidth="1"/>
    <col min="8" max="8" width="20.28515625" bestFit="1" customWidth="1"/>
    <col min="9" max="9" width="28.28515625" customWidth="1"/>
    <col min="10" max="10" width="16.28515625" customWidth="1"/>
    <col min="11" max="11" width="17.28515625" customWidth="1"/>
    <col min="12" max="12" width="15.28515625" bestFit="1" customWidth="1"/>
    <col min="13" max="13" width="17.42578125" customWidth="1"/>
    <col min="14" max="15" width="19.28515625" customWidth="1"/>
    <col min="16" max="17" width="11" customWidth="1"/>
    <col min="18" max="18" width="10.7109375" customWidth="1"/>
    <col min="19" max="19" width="10.5703125" customWidth="1"/>
    <col min="20" max="20" width="10.85546875" customWidth="1"/>
    <col min="21" max="22" width="14" customWidth="1"/>
    <col min="23" max="23" width="10.85546875" customWidth="1"/>
    <col min="24" max="26" width="11.140625" customWidth="1"/>
    <col min="35" max="35" width="11.28515625" customWidth="1"/>
    <col min="36" max="36" width="11.7109375" customWidth="1"/>
  </cols>
  <sheetData>
    <row r="2" spans="1:6" ht="20.25" thickBot="1" x14ac:dyDescent="0.35">
      <c r="A2" s="19" t="s">
        <v>303</v>
      </c>
    </row>
    <row r="3" spans="1:6" ht="15.75" thickTop="1" x14ac:dyDescent="0.25"/>
    <row r="4" spans="1:6" ht="30" x14ac:dyDescent="0.25">
      <c r="A4" s="87" t="s">
        <v>314</v>
      </c>
      <c r="B4" s="18">
        <v>2028</v>
      </c>
    </row>
    <row r="5" spans="1:6" x14ac:dyDescent="0.25">
      <c r="A5" s="5" t="s">
        <v>146</v>
      </c>
      <c r="B5" s="18">
        <v>6</v>
      </c>
      <c r="C5" t="s">
        <v>229</v>
      </c>
    </row>
    <row r="6" spans="1:6" x14ac:dyDescent="0.25">
      <c r="A6" s="118" t="s">
        <v>183</v>
      </c>
      <c r="B6" s="119">
        <f>'Rail Diversion (No Build) - Dry'!$B$9</f>
        <v>53.5</v>
      </c>
      <c r="C6" t="s">
        <v>293</v>
      </c>
    </row>
    <row r="7" spans="1:6" x14ac:dyDescent="0.25">
      <c r="A7" s="118" t="s">
        <v>283</v>
      </c>
      <c r="B7" s="119">
        <f>'Truck Diversion (No Build)- Dry'!$B$9</f>
        <v>33.5</v>
      </c>
      <c r="C7" t="s">
        <v>294</v>
      </c>
    </row>
    <row r="8" spans="1:6" x14ac:dyDescent="0.25">
      <c r="A8" s="5" t="s">
        <v>389</v>
      </c>
      <c r="B8" s="25">
        <v>1650</v>
      </c>
      <c r="C8" t="s">
        <v>229</v>
      </c>
    </row>
    <row r="9" spans="1:6" x14ac:dyDescent="0.25">
      <c r="A9" s="5" t="s">
        <v>148</v>
      </c>
      <c r="B9" s="25">
        <f>'Inputs &amp; Parameters'!B23/'Barge - Liquid'!B8/12</f>
        <v>21.639128787878789</v>
      </c>
      <c r="C9" t="s">
        <v>229</v>
      </c>
    </row>
    <row r="10" spans="1:6" x14ac:dyDescent="0.25">
      <c r="A10" s="5" t="s">
        <v>295</v>
      </c>
      <c r="B10" s="25">
        <f>B9*12*'Inputs &amp; Parameters'!B20</f>
        <v>34065.750865891372</v>
      </c>
    </row>
    <row r="11" spans="1:6" x14ac:dyDescent="0.25">
      <c r="A11" s="126" t="s">
        <v>149</v>
      </c>
      <c r="B11" s="127">
        <f>B8*'Inputs &amp; Parameters'!$B$20*$B$9*12</f>
        <v>56208488.928720765</v>
      </c>
    </row>
    <row r="12" spans="1:6" x14ac:dyDescent="0.25">
      <c r="A12" s="5" t="s">
        <v>390</v>
      </c>
      <c r="B12" s="17">
        <f>(0.54*968*'Inputs &amp; Parameters'!$B$11)</f>
        <v>474.20847319241585</v>
      </c>
      <c r="C12" t="s">
        <v>388</v>
      </c>
    </row>
    <row r="13" spans="1:6" x14ac:dyDescent="0.25">
      <c r="A13" s="5" t="s">
        <v>288</v>
      </c>
      <c r="B13" s="130">
        <v>0.2</v>
      </c>
    </row>
    <row r="14" spans="1:6" x14ac:dyDescent="0.25">
      <c r="B14" s="128"/>
    </row>
    <row r="15" spans="1:6" ht="20.25" thickBot="1" x14ac:dyDescent="0.35">
      <c r="A15" s="19" t="s">
        <v>103</v>
      </c>
      <c r="B15" s="27" t="s">
        <v>86</v>
      </c>
      <c r="F15" t="s">
        <v>87</v>
      </c>
    </row>
    <row r="16" spans="1:6" ht="15.75" thickTop="1" x14ac:dyDescent="0.25"/>
    <row r="17" spans="1:25" x14ac:dyDescent="0.25">
      <c r="A17" s="168" t="s">
        <v>88</v>
      </c>
      <c r="B17" s="168"/>
      <c r="C17" s="13" t="s">
        <v>30</v>
      </c>
    </row>
    <row r="18" spans="1:25" x14ac:dyDescent="0.25">
      <c r="A18" s="5" t="s">
        <v>89</v>
      </c>
      <c r="B18" s="18">
        <v>22.4</v>
      </c>
      <c r="C18" s="43" t="s">
        <v>86</v>
      </c>
    </row>
    <row r="19" spans="1:25" x14ac:dyDescent="0.25">
      <c r="A19" s="5" t="s">
        <v>90</v>
      </c>
      <c r="B19" s="24">
        <v>453.59237000000002</v>
      </c>
      <c r="C19" s="5"/>
    </row>
    <row r="20" spans="1:25" x14ac:dyDescent="0.25">
      <c r="A20" s="5" t="s">
        <v>104</v>
      </c>
      <c r="B20" s="24">
        <v>675</v>
      </c>
      <c r="C20" s="27" t="s">
        <v>91</v>
      </c>
    </row>
    <row r="21" spans="1:25" ht="30" x14ac:dyDescent="0.25">
      <c r="A21" s="87" t="s">
        <v>105</v>
      </c>
      <c r="B21" s="48">
        <f>B20/'Barge - Liquid'!$B$8</f>
        <v>0.40909090909090912</v>
      </c>
      <c r="C21" s="43"/>
    </row>
    <row r="22" spans="1:25" x14ac:dyDescent="0.25">
      <c r="A22" s="5" t="s">
        <v>102</v>
      </c>
      <c r="B22" s="49">
        <f>1/B21</f>
        <v>2.4444444444444442</v>
      </c>
      <c r="C22" s="5"/>
    </row>
    <row r="23" spans="1:25" x14ac:dyDescent="0.25">
      <c r="A23" s="5" t="s">
        <v>92</v>
      </c>
      <c r="B23" s="92">
        <f>B18*B19*B22</f>
        <v>24836.702215111109</v>
      </c>
      <c r="C23" s="5"/>
    </row>
    <row r="24" spans="1:25" ht="15.75" thickBot="1" x14ac:dyDescent="0.3"/>
    <row r="25" spans="1:25" ht="30" x14ac:dyDescent="0.25">
      <c r="A25" s="45" t="s">
        <v>93</v>
      </c>
      <c r="B25" s="23">
        <v>2024</v>
      </c>
      <c r="C25" s="23">
        <f t="shared" ref="C25:Y25" si="0">B25+1</f>
        <v>2025</v>
      </c>
      <c r="D25" s="23">
        <f t="shared" si="0"/>
        <v>2026</v>
      </c>
      <c r="E25" s="23">
        <f t="shared" si="0"/>
        <v>2027</v>
      </c>
      <c r="F25" s="23">
        <f t="shared" si="0"/>
        <v>2028</v>
      </c>
      <c r="G25" s="23">
        <f t="shared" si="0"/>
        <v>2029</v>
      </c>
      <c r="H25" s="23">
        <f t="shared" si="0"/>
        <v>2030</v>
      </c>
      <c r="I25" s="23">
        <f t="shared" si="0"/>
        <v>2031</v>
      </c>
      <c r="J25" s="23">
        <f t="shared" si="0"/>
        <v>2032</v>
      </c>
      <c r="K25" s="23">
        <f t="shared" si="0"/>
        <v>2033</v>
      </c>
      <c r="L25" s="23">
        <f t="shared" si="0"/>
        <v>2034</v>
      </c>
      <c r="M25" s="23">
        <f t="shared" si="0"/>
        <v>2035</v>
      </c>
      <c r="N25" s="23">
        <f t="shared" si="0"/>
        <v>2036</v>
      </c>
      <c r="O25" s="23">
        <f t="shared" si="0"/>
        <v>2037</v>
      </c>
      <c r="P25" s="23">
        <f t="shared" si="0"/>
        <v>2038</v>
      </c>
      <c r="Q25" s="23">
        <f t="shared" si="0"/>
        <v>2039</v>
      </c>
      <c r="R25" s="23">
        <f t="shared" si="0"/>
        <v>2040</v>
      </c>
      <c r="S25" s="23">
        <f t="shared" si="0"/>
        <v>2041</v>
      </c>
      <c r="T25" s="23">
        <f t="shared" si="0"/>
        <v>2042</v>
      </c>
      <c r="U25" s="23">
        <f t="shared" si="0"/>
        <v>2043</v>
      </c>
      <c r="V25" s="23">
        <f t="shared" si="0"/>
        <v>2044</v>
      </c>
      <c r="W25" s="23">
        <f t="shared" si="0"/>
        <v>2045</v>
      </c>
      <c r="X25" s="23">
        <f t="shared" si="0"/>
        <v>2046</v>
      </c>
      <c r="Y25" s="23">
        <f t="shared" si="0"/>
        <v>2047</v>
      </c>
    </row>
    <row r="26" spans="1:25" x14ac:dyDescent="0.25">
      <c r="A26" s="21" t="s">
        <v>94</v>
      </c>
      <c r="B26" s="50">
        <f>$B$23</f>
        <v>24836.702215111109</v>
      </c>
      <c r="C26" s="50">
        <f t="shared" ref="C26:Y26" si="1">B26</f>
        <v>24836.702215111109</v>
      </c>
      <c r="D26" s="50">
        <f t="shared" si="1"/>
        <v>24836.702215111109</v>
      </c>
      <c r="E26" s="50">
        <f t="shared" si="1"/>
        <v>24836.702215111109</v>
      </c>
      <c r="F26" s="50">
        <f t="shared" si="1"/>
        <v>24836.702215111109</v>
      </c>
      <c r="G26" s="50">
        <f t="shared" si="1"/>
        <v>24836.702215111109</v>
      </c>
      <c r="H26" s="50">
        <f t="shared" si="1"/>
        <v>24836.702215111109</v>
      </c>
      <c r="I26" s="50">
        <f t="shared" si="1"/>
        <v>24836.702215111109</v>
      </c>
      <c r="J26" s="50">
        <f t="shared" si="1"/>
        <v>24836.702215111109</v>
      </c>
      <c r="K26" s="50">
        <f t="shared" si="1"/>
        <v>24836.702215111109</v>
      </c>
      <c r="L26" s="50">
        <f t="shared" si="1"/>
        <v>24836.702215111109</v>
      </c>
      <c r="M26" s="50">
        <f t="shared" si="1"/>
        <v>24836.702215111109</v>
      </c>
      <c r="N26" s="50">
        <f t="shared" si="1"/>
        <v>24836.702215111109</v>
      </c>
      <c r="O26" s="50">
        <f t="shared" si="1"/>
        <v>24836.702215111109</v>
      </c>
      <c r="P26" s="50">
        <f t="shared" si="1"/>
        <v>24836.702215111109</v>
      </c>
      <c r="Q26" s="50">
        <f t="shared" si="1"/>
        <v>24836.702215111109</v>
      </c>
      <c r="R26" s="50">
        <f t="shared" si="1"/>
        <v>24836.702215111109</v>
      </c>
      <c r="S26" s="50">
        <f t="shared" si="1"/>
        <v>24836.702215111109</v>
      </c>
      <c r="T26" s="50">
        <f t="shared" si="1"/>
        <v>24836.702215111109</v>
      </c>
      <c r="U26" s="50">
        <f t="shared" si="1"/>
        <v>24836.702215111109</v>
      </c>
      <c r="V26" s="50">
        <f t="shared" si="1"/>
        <v>24836.702215111109</v>
      </c>
      <c r="W26" s="50">
        <f t="shared" si="1"/>
        <v>24836.702215111109</v>
      </c>
      <c r="X26" s="50">
        <f t="shared" si="1"/>
        <v>24836.702215111109</v>
      </c>
      <c r="Y26" s="50">
        <f t="shared" si="1"/>
        <v>24836.702215111109</v>
      </c>
    </row>
    <row r="27" spans="1:25" x14ac:dyDescent="0.25">
      <c r="A27" s="21" t="s">
        <v>95</v>
      </c>
      <c r="B27" s="50">
        <v>0</v>
      </c>
      <c r="C27" s="50">
        <v>0</v>
      </c>
      <c r="D27" s="50">
        <v>0</v>
      </c>
      <c r="E27" s="50">
        <v>0</v>
      </c>
      <c r="F27" s="50">
        <v>0</v>
      </c>
      <c r="G27" s="50">
        <v>0</v>
      </c>
      <c r="H27" s="50">
        <v>0</v>
      </c>
      <c r="I27" s="50">
        <v>0</v>
      </c>
      <c r="J27" s="50">
        <v>0</v>
      </c>
      <c r="K27" s="50">
        <v>0</v>
      </c>
      <c r="L27" s="50">
        <v>0</v>
      </c>
      <c r="M27" s="50">
        <v>0</v>
      </c>
      <c r="N27" s="50">
        <v>0</v>
      </c>
      <c r="O27" s="50">
        <v>0</v>
      </c>
      <c r="P27" s="50">
        <v>0</v>
      </c>
      <c r="Q27" s="50">
        <v>0</v>
      </c>
      <c r="R27" s="50">
        <v>0</v>
      </c>
      <c r="S27" s="50">
        <v>0</v>
      </c>
      <c r="T27" s="50">
        <v>0</v>
      </c>
      <c r="U27" s="50">
        <v>0</v>
      </c>
      <c r="V27" s="50">
        <v>0</v>
      </c>
      <c r="W27" s="50">
        <v>0</v>
      </c>
      <c r="X27" s="50">
        <v>0</v>
      </c>
      <c r="Y27" s="50">
        <v>0</v>
      </c>
    </row>
    <row r="28" spans="1:25" x14ac:dyDescent="0.25">
      <c r="A28" s="21" t="s">
        <v>96</v>
      </c>
      <c r="B28" s="50">
        <v>0</v>
      </c>
      <c r="C28" s="50">
        <v>0</v>
      </c>
      <c r="D28" s="50">
        <v>0</v>
      </c>
      <c r="E28" s="50">
        <v>0</v>
      </c>
      <c r="F28" s="50">
        <v>0</v>
      </c>
      <c r="G28" s="50">
        <v>0</v>
      </c>
      <c r="H28" s="50">
        <v>0</v>
      </c>
      <c r="I28" s="50">
        <v>0</v>
      </c>
      <c r="J28" s="50">
        <v>0</v>
      </c>
      <c r="K28" s="50">
        <v>0</v>
      </c>
      <c r="L28" s="50">
        <v>0</v>
      </c>
      <c r="M28" s="50">
        <v>0</v>
      </c>
      <c r="N28" s="50">
        <v>0</v>
      </c>
      <c r="O28" s="50">
        <v>0</v>
      </c>
      <c r="P28" s="50">
        <v>0</v>
      </c>
      <c r="Q28" s="50">
        <v>0</v>
      </c>
      <c r="R28" s="50">
        <v>0</v>
      </c>
      <c r="S28" s="50">
        <v>0</v>
      </c>
      <c r="T28" s="50">
        <v>0</v>
      </c>
      <c r="U28" s="50">
        <v>0</v>
      </c>
      <c r="V28" s="50">
        <v>0</v>
      </c>
      <c r="W28" s="50">
        <v>0</v>
      </c>
      <c r="X28" s="50">
        <v>0</v>
      </c>
      <c r="Y28" s="50">
        <v>0</v>
      </c>
    </row>
    <row r="29" spans="1:25" x14ac:dyDescent="0.25">
      <c r="A29" s="21" t="s">
        <v>97</v>
      </c>
      <c r="B29" s="50">
        <v>0</v>
      </c>
      <c r="C29" s="50">
        <v>0</v>
      </c>
      <c r="D29" s="50">
        <v>0</v>
      </c>
      <c r="E29" s="50">
        <v>0</v>
      </c>
      <c r="F29" s="50">
        <v>0</v>
      </c>
      <c r="G29" s="50">
        <v>0</v>
      </c>
      <c r="H29" s="50">
        <v>0</v>
      </c>
      <c r="I29" s="50">
        <v>0</v>
      </c>
      <c r="J29" s="50">
        <v>0</v>
      </c>
      <c r="K29" s="50">
        <v>0</v>
      </c>
      <c r="L29" s="50">
        <v>0</v>
      </c>
      <c r="M29" s="50">
        <v>0</v>
      </c>
      <c r="N29" s="50">
        <v>0</v>
      </c>
      <c r="O29" s="50">
        <v>0</v>
      </c>
      <c r="P29" s="50">
        <v>0</v>
      </c>
      <c r="Q29" s="50">
        <v>0</v>
      </c>
      <c r="R29" s="50">
        <v>0</v>
      </c>
      <c r="S29" s="50">
        <v>0</v>
      </c>
      <c r="T29" s="50">
        <v>0</v>
      </c>
      <c r="U29" s="50">
        <v>0</v>
      </c>
      <c r="V29" s="50">
        <v>0</v>
      </c>
      <c r="W29" s="50">
        <v>0</v>
      </c>
      <c r="X29" s="50">
        <v>0</v>
      </c>
      <c r="Y29" s="50">
        <v>0</v>
      </c>
    </row>
    <row r="30" spans="1:25" x14ac:dyDescent="0.25">
      <c r="A30" s="21" t="s">
        <v>98</v>
      </c>
      <c r="B30" s="50">
        <v>0</v>
      </c>
      <c r="C30" s="50">
        <v>0</v>
      </c>
      <c r="D30" s="50">
        <v>0</v>
      </c>
      <c r="E30" s="50">
        <v>0</v>
      </c>
      <c r="F30" s="50">
        <v>0</v>
      </c>
      <c r="G30" s="50">
        <v>0</v>
      </c>
      <c r="H30" s="50">
        <v>0</v>
      </c>
      <c r="I30" s="50">
        <v>0</v>
      </c>
      <c r="J30" s="50">
        <v>0</v>
      </c>
      <c r="K30" s="50">
        <v>0</v>
      </c>
      <c r="L30" s="50">
        <v>0</v>
      </c>
      <c r="M30" s="50">
        <v>0</v>
      </c>
      <c r="N30" s="50">
        <v>0</v>
      </c>
      <c r="O30" s="50">
        <v>0</v>
      </c>
      <c r="P30" s="50">
        <v>0</v>
      </c>
      <c r="Q30" s="50">
        <v>0</v>
      </c>
      <c r="R30" s="50">
        <v>0</v>
      </c>
      <c r="S30" s="50">
        <v>0</v>
      </c>
      <c r="T30" s="50">
        <v>0</v>
      </c>
      <c r="U30" s="50">
        <v>0</v>
      </c>
      <c r="V30" s="50">
        <v>0</v>
      </c>
      <c r="W30" s="50">
        <v>0</v>
      </c>
      <c r="X30" s="50">
        <v>0</v>
      </c>
      <c r="Y30" s="50">
        <v>0</v>
      </c>
    </row>
    <row r="31" spans="1:25" ht="30" x14ac:dyDescent="0.25">
      <c r="A31" s="46" t="s">
        <v>99</v>
      </c>
      <c r="B31" s="23">
        <v>2024</v>
      </c>
      <c r="C31" s="23">
        <f t="shared" ref="C31:Y31" si="2">B31+1</f>
        <v>2025</v>
      </c>
      <c r="D31" s="23">
        <f t="shared" si="2"/>
        <v>2026</v>
      </c>
      <c r="E31" s="23">
        <f t="shared" si="2"/>
        <v>2027</v>
      </c>
      <c r="F31" s="23">
        <f t="shared" si="2"/>
        <v>2028</v>
      </c>
      <c r="G31" s="23">
        <f t="shared" si="2"/>
        <v>2029</v>
      </c>
      <c r="H31" s="23">
        <f t="shared" si="2"/>
        <v>2030</v>
      </c>
      <c r="I31" s="23">
        <f t="shared" si="2"/>
        <v>2031</v>
      </c>
      <c r="J31" s="23">
        <f t="shared" si="2"/>
        <v>2032</v>
      </c>
      <c r="K31" s="23">
        <f t="shared" si="2"/>
        <v>2033</v>
      </c>
      <c r="L31" s="23">
        <f t="shared" si="2"/>
        <v>2034</v>
      </c>
      <c r="M31" s="23">
        <f t="shared" si="2"/>
        <v>2035</v>
      </c>
      <c r="N31" s="23">
        <f t="shared" si="2"/>
        <v>2036</v>
      </c>
      <c r="O31" s="23">
        <f t="shared" si="2"/>
        <v>2037</v>
      </c>
      <c r="P31" s="23">
        <f t="shared" si="2"/>
        <v>2038</v>
      </c>
      <c r="Q31" s="23">
        <f t="shared" si="2"/>
        <v>2039</v>
      </c>
      <c r="R31" s="23">
        <f t="shared" si="2"/>
        <v>2040</v>
      </c>
      <c r="S31" s="23">
        <f t="shared" si="2"/>
        <v>2041</v>
      </c>
      <c r="T31" s="23">
        <f t="shared" si="2"/>
        <v>2042</v>
      </c>
      <c r="U31" s="23">
        <f t="shared" si="2"/>
        <v>2043</v>
      </c>
      <c r="V31" s="23">
        <f t="shared" si="2"/>
        <v>2044</v>
      </c>
      <c r="W31" s="23">
        <f t="shared" si="2"/>
        <v>2045</v>
      </c>
      <c r="X31" s="23">
        <f t="shared" si="2"/>
        <v>2046</v>
      </c>
      <c r="Y31" s="23">
        <f t="shared" si="2"/>
        <v>2047</v>
      </c>
    </row>
    <row r="32" spans="1:25" x14ac:dyDescent="0.25">
      <c r="A32" s="21" t="s">
        <v>94</v>
      </c>
      <c r="B32" s="41">
        <f>B26/'Inputs &amp; Parameters'!$B$9</f>
        <v>2.4836702215111108E-2</v>
      </c>
      <c r="C32" s="41">
        <f>C26/'Inputs &amp; Parameters'!$B$9</f>
        <v>2.4836702215111108E-2</v>
      </c>
      <c r="D32" s="41">
        <f>D26/'Inputs &amp; Parameters'!$B$9</f>
        <v>2.4836702215111108E-2</v>
      </c>
      <c r="E32" s="41">
        <f>E26/'Inputs &amp; Parameters'!$B$9</f>
        <v>2.4836702215111108E-2</v>
      </c>
      <c r="F32" s="41">
        <f>F26/'Inputs &amp; Parameters'!$B$9</f>
        <v>2.4836702215111108E-2</v>
      </c>
      <c r="G32" s="41">
        <f>G26/'Inputs &amp; Parameters'!$B$9</f>
        <v>2.4836702215111108E-2</v>
      </c>
      <c r="H32" s="41">
        <f>H26/'Inputs &amp; Parameters'!$B$9</f>
        <v>2.4836702215111108E-2</v>
      </c>
      <c r="I32" s="41">
        <f>I26/'Inputs &amp; Parameters'!$B$9</f>
        <v>2.4836702215111108E-2</v>
      </c>
      <c r="J32" s="41">
        <f>J26/'Inputs &amp; Parameters'!$B$9</f>
        <v>2.4836702215111108E-2</v>
      </c>
      <c r="K32" s="41">
        <f>K26/'Inputs &amp; Parameters'!$B$9</f>
        <v>2.4836702215111108E-2</v>
      </c>
      <c r="L32" s="41">
        <f>L26/'Inputs &amp; Parameters'!$B$9</f>
        <v>2.4836702215111108E-2</v>
      </c>
      <c r="M32" s="41">
        <f>M26/'Inputs &amp; Parameters'!$B$9</f>
        <v>2.4836702215111108E-2</v>
      </c>
      <c r="N32" s="41">
        <f>N26/'Inputs &amp; Parameters'!$B$9</f>
        <v>2.4836702215111108E-2</v>
      </c>
      <c r="O32" s="41">
        <f>O26/'Inputs &amp; Parameters'!$B$9</f>
        <v>2.4836702215111108E-2</v>
      </c>
      <c r="P32" s="41">
        <f>P26/'Inputs &amp; Parameters'!$B$9</f>
        <v>2.4836702215111108E-2</v>
      </c>
      <c r="Q32" s="41">
        <f>Q26/'Inputs &amp; Parameters'!$B$9</f>
        <v>2.4836702215111108E-2</v>
      </c>
      <c r="R32" s="41">
        <f>R26/'Inputs &amp; Parameters'!$B$9</f>
        <v>2.4836702215111108E-2</v>
      </c>
      <c r="S32" s="41">
        <f>S26/'Inputs &amp; Parameters'!$B$9</f>
        <v>2.4836702215111108E-2</v>
      </c>
      <c r="T32" s="41">
        <f>T26/'Inputs &amp; Parameters'!$B$9</f>
        <v>2.4836702215111108E-2</v>
      </c>
      <c r="U32" s="41">
        <f>U26/'Inputs &amp; Parameters'!$B$9</f>
        <v>2.4836702215111108E-2</v>
      </c>
      <c r="V32" s="41">
        <f>V26/'Inputs &amp; Parameters'!$B$9</f>
        <v>2.4836702215111108E-2</v>
      </c>
      <c r="W32" s="41">
        <f>W26/'Inputs &amp; Parameters'!$B$9</f>
        <v>2.4836702215111108E-2</v>
      </c>
      <c r="X32" s="41">
        <f>X26/'Inputs &amp; Parameters'!$B$9</f>
        <v>2.4836702215111108E-2</v>
      </c>
      <c r="Y32" s="41">
        <f>Y26/'Inputs &amp; Parameters'!$B$9</f>
        <v>2.4836702215111108E-2</v>
      </c>
    </row>
    <row r="33" spans="1:25" x14ac:dyDescent="0.25">
      <c r="A33" s="21" t="s">
        <v>95</v>
      </c>
      <c r="B33" s="41">
        <f>B27/'Inputs &amp; Parameters'!$B$9</f>
        <v>0</v>
      </c>
      <c r="C33" s="41">
        <f>C27/'Inputs &amp; Parameters'!$B$9</f>
        <v>0</v>
      </c>
      <c r="D33" s="41">
        <f>D27/'Inputs &amp; Parameters'!$B$9</f>
        <v>0</v>
      </c>
      <c r="E33" s="41">
        <f>E27/'Inputs &amp; Parameters'!$B$9</f>
        <v>0</v>
      </c>
      <c r="F33" s="41">
        <f>F27/'Inputs &amp; Parameters'!$B$9</f>
        <v>0</v>
      </c>
      <c r="G33" s="41">
        <f>G27/'Inputs &amp; Parameters'!$B$9</f>
        <v>0</v>
      </c>
      <c r="H33" s="41">
        <f>H27/'Inputs &amp; Parameters'!$B$9</f>
        <v>0</v>
      </c>
      <c r="I33" s="41">
        <f>I27/'Inputs &amp; Parameters'!$B$9</f>
        <v>0</v>
      </c>
      <c r="J33" s="41">
        <f>J27/'Inputs &amp; Parameters'!$B$9</f>
        <v>0</v>
      </c>
      <c r="K33" s="41">
        <f>K27/'Inputs &amp; Parameters'!$B$9</f>
        <v>0</v>
      </c>
      <c r="L33" s="41">
        <f>L27/'Inputs &amp; Parameters'!$B$9</f>
        <v>0</v>
      </c>
      <c r="M33" s="41">
        <f>M27/'Inputs &amp; Parameters'!$B$9</f>
        <v>0</v>
      </c>
      <c r="N33" s="41">
        <f>N27/'Inputs &amp; Parameters'!$B$9</f>
        <v>0</v>
      </c>
      <c r="O33" s="41">
        <f>O27/'Inputs &amp; Parameters'!$B$9</f>
        <v>0</v>
      </c>
      <c r="P33" s="41">
        <f>P27/'Inputs &amp; Parameters'!$B$9</f>
        <v>0</v>
      </c>
      <c r="Q33" s="41">
        <f>Q27/'Inputs &amp; Parameters'!$B$9</f>
        <v>0</v>
      </c>
      <c r="R33" s="41">
        <f>R27/'Inputs &amp; Parameters'!$B$9</f>
        <v>0</v>
      </c>
      <c r="S33" s="41">
        <f>S27/'Inputs &amp; Parameters'!$B$9</f>
        <v>0</v>
      </c>
      <c r="T33" s="41">
        <f>T27/'Inputs &amp; Parameters'!$B$9</f>
        <v>0</v>
      </c>
      <c r="U33" s="41">
        <f>U27/'Inputs &amp; Parameters'!$B$9</f>
        <v>0</v>
      </c>
      <c r="V33" s="41">
        <f>V27/'Inputs &amp; Parameters'!$B$9</f>
        <v>0</v>
      </c>
      <c r="W33" s="41">
        <f>W27/'Inputs &amp; Parameters'!$B$9</f>
        <v>0</v>
      </c>
      <c r="X33" s="41">
        <f>X27/'Inputs &amp; Parameters'!$B$9</f>
        <v>0</v>
      </c>
      <c r="Y33" s="41">
        <f>Y27/'Inputs &amp; Parameters'!$B$9</f>
        <v>0</v>
      </c>
    </row>
    <row r="34" spans="1:25" x14ac:dyDescent="0.25">
      <c r="A34" s="21" t="s">
        <v>96</v>
      </c>
      <c r="B34" s="41">
        <f>B28/'Inputs &amp; Parameters'!$B$9</f>
        <v>0</v>
      </c>
      <c r="C34" s="41">
        <f>C28/'Inputs &amp; Parameters'!$B$9</f>
        <v>0</v>
      </c>
      <c r="D34" s="41">
        <f>D28/'Inputs &amp; Parameters'!$B$9</f>
        <v>0</v>
      </c>
      <c r="E34" s="41">
        <f>E28/'Inputs &amp; Parameters'!$B$9</f>
        <v>0</v>
      </c>
      <c r="F34" s="41">
        <f>F28/'Inputs &amp; Parameters'!$B$9</f>
        <v>0</v>
      </c>
      <c r="G34" s="41">
        <f>G28/'Inputs &amp; Parameters'!$B$9</f>
        <v>0</v>
      </c>
      <c r="H34" s="41">
        <f>H28/'Inputs &amp; Parameters'!$B$9</f>
        <v>0</v>
      </c>
      <c r="I34" s="41">
        <f>I28/'Inputs &amp; Parameters'!$B$9</f>
        <v>0</v>
      </c>
      <c r="J34" s="41">
        <f>J28/'Inputs &amp; Parameters'!$B$9</f>
        <v>0</v>
      </c>
      <c r="K34" s="41">
        <f>K28/'Inputs &amp; Parameters'!$B$9</f>
        <v>0</v>
      </c>
      <c r="L34" s="41">
        <f>L28/'Inputs &amp; Parameters'!$B$9</f>
        <v>0</v>
      </c>
      <c r="M34" s="41">
        <f>M28/'Inputs &amp; Parameters'!$B$9</f>
        <v>0</v>
      </c>
      <c r="N34" s="41">
        <f>N28/'Inputs &amp; Parameters'!$B$9</f>
        <v>0</v>
      </c>
      <c r="O34" s="41">
        <f>O28/'Inputs &amp; Parameters'!$B$9</f>
        <v>0</v>
      </c>
      <c r="P34" s="41">
        <f>P28/'Inputs &amp; Parameters'!$B$9</f>
        <v>0</v>
      </c>
      <c r="Q34" s="41">
        <f>Q28/'Inputs &amp; Parameters'!$B$9</f>
        <v>0</v>
      </c>
      <c r="R34" s="41">
        <f>R28/'Inputs &amp; Parameters'!$B$9</f>
        <v>0</v>
      </c>
      <c r="S34" s="41">
        <f>S28/'Inputs &amp; Parameters'!$B$9</f>
        <v>0</v>
      </c>
      <c r="T34" s="41">
        <f>T28/'Inputs &amp; Parameters'!$B$9</f>
        <v>0</v>
      </c>
      <c r="U34" s="41">
        <f>U28/'Inputs &amp; Parameters'!$B$9</f>
        <v>0</v>
      </c>
      <c r="V34" s="41">
        <f>V28/'Inputs &amp; Parameters'!$B$9</f>
        <v>0</v>
      </c>
      <c r="W34" s="41">
        <f>W28/'Inputs &amp; Parameters'!$B$9</f>
        <v>0</v>
      </c>
      <c r="X34" s="41">
        <f>X28/'Inputs &amp; Parameters'!$B$9</f>
        <v>0</v>
      </c>
      <c r="Y34" s="41">
        <f>Y28/'Inputs &amp; Parameters'!$B$9</f>
        <v>0</v>
      </c>
    </row>
    <row r="35" spans="1:25" x14ac:dyDescent="0.25">
      <c r="A35" s="21" t="s">
        <v>97</v>
      </c>
      <c r="B35" s="41">
        <f>B29/'Inputs &amp; Parameters'!$B$9</f>
        <v>0</v>
      </c>
      <c r="C35" s="41">
        <f>C29/'Inputs &amp; Parameters'!$B$9</f>
        <v>0</v>
      </c>
      <c r="D35" s="41">
        <f>D29/'Inputs &amp; Parameters'!$B$9</f>
        <v>0</v>
      </c>
      <c r="E35" s="41">
        <f>E29/'Inputs &amp; Parameters'!$B$9</f>
        <v>0</v>
      </c>
      <c r="F35" s="41">
        <f>F29/'Inputs &amp; Parameters'!$B$9</f>
        <v>0</v>
      </c>
      <c r="G35" s="41">
        <f>G29/'Inputs &amp; Parameters'!$B$9</f>
        <v>0</v>
      </c>
      <c r="H35" s="41">
        <f>H29/'Inputs &amp; Parameters'!$B$9</f>
        <v>0</v>
      </c>
      <c r="I35" s="41">
        <f>I29/'Inputs &amp; Parameters'!$B$9</f>
        <v>0</v>
      </c>
      <c r="J35" s="41">
        <f>J29/'Inputs &amp; Parameters'!$B$9</f>
        <v>0</v>
      </c>
      <c r="K35" s="41">
        <f>K29/'Inputs &amp; Parameters'!$B$9</f>
        <v>0</v>
      </c>
      <c r="L35" s="41">
        <f>L29/'Inputs &amp; Parameters'!$B$9</f>
        <v>0</v>
      </c>
      <c r="M35" s="41">
        <f>M29/'Inputs &amp; Parameters'!$B$9</f>
        <v>0</v>
      </c>
      <c r="N35" s="41">
        <f>N29/'Inputs &amp; Parameters'!$B$9</f>
        <v>0</v>
      </c>
      <c r="O35" s="41">
        <f>O29/'Inputs &amp; Parameters'!$B$9</f>
        <v>0</v>
      </c>
      <c r="P35" s="41">
        <f>P29/'Inputs &amp; Parameters'!$B$9</f>
        <v>0</v>
      </c>
      <c r="Q35" s="41">
        <f>Q29/'Inputs &amp; Parameters'!$B$9</f>
        <v>0</v>
      </c>
      <c r="R35" s="41">
        <f>R29/'Inputs &amp; Parameters'!$B$9</f>
        <v>0</v>
      </c>
      <c r="S35" s="41">
        <f>S29/'Inputs &amp; Parameters'!$B$9</f>
        <v>0</v>
      </c>
      <c r="T35" s="41">
        <f>T29/'Inputs &amp; Parameters'!$B$9</f>
        <v>0</v>
      </c>
      <c r="U35" s="41">
        <f>U29/'Inputs &amp; Parameters'!$B$9</f>
        <v>0</v>
      </c>
      <c r="V35" s="41">
        <f>V29/'Inputs &amp; Parameters'!$B$9</f>
        <v>0</v>
      </c>
      <c r="W35" s="41">
        <f>W29/'Inputs &amp; Parameters'!$B$9</f>
        <v>0</v>
      </c>
      <c r="X35" s="41">
        <f>X29/'Inputs &amp; Parameters'!$B$9</f>
        <v>0</v>
      </c>
      <c r="Y35" s="41">
        <f>Y29/'Inputs &amp; Parameters'!$B$9</f>
        <v>0</v>
      </c>
    </row>
    <row r="36" spans="1:25" x14ac:dyDescent="0.25">
      <c r="A36" s="21" t="s">
        <v>98</v>
      </c>
      <c r="B36" s="41">
        <f>B30/'Inputs &amp; Parameters'!$B$9</f>
        <v>0</v>
      </c>
      <c r="C36" s="41">
        <f>C30/'Inputs &amp; Parameters'!$B$9</f>
        <v>0</v>
      </c>
      <c r="D36" s="41">
        <f>D30/'Inputs &amp; Parameters'!$B$9</f>
        <v>0</v>
      </c>
      <c r="E36" s="41">
        <f>E30/'Inputs &amp; Parameters'!$B$9</f>
        <v>0</v>
      </c>
      <c r="F36" s="41">
        <f>F30/'Inputs &amp; Parameters'!$B$9</f>
        <v>0</v>
      </c>
      <c r="G36" s="41">
        <f>G30/'Inputs &amp; Parameters'!$B$9</f>
        <v>0</v>
      </c>
      <c r="H36" s="41">
        <f>H30/'Inputs &amp; Parameters'!$B$9</f>
        <v>0</v>
      </c>
      <c r="I36" s="41">
        <f>I30/'Inputs &amp; Parameters'!$B$9</f>
        <v>0</v>
      </c>
      <c r="J36" s="41">
        <f>J30/'Inputs &amp; Parameters'!$B$9</f>
        <v>0</v>
      </c>
      <c r="K36" s="41">
        <f>K30/'Inputs &amp; Parameters'!$B$9</f>
        <v>0</v>
      </c>
      <c r="L36" s="41">
        <f>L30/'Inputs &amp; Parameters'!$B$9</f>
        <v>0</v>
      </c>
      <c r="M36" s="41">
        <f>M30/'Inputs &amp; Parameters'!$B$9</f>
        <v>0</v>
      </c>
      <c r="N36" s="41">
        <f>N30/'Inputs &amp; Parameters'!$B$9</f>
        <v>0</v>
      </c>
      <c r="O36" s="41">
        <f>O30/'Inputs &amp; Parameters'!$B$9</f>
        <v>0</v>
      </c>
      <c r="P36" s="41">
        <f>P30/'Inputs &amp; Parameters'!$B$9</f>
        <v>0</v>
      </c>
      <c r="Q36" s="41">
        <f>Q30/'Inputs &amp; Parameters'!$B$9</f>
        <v>0</v>
      </c>
      <c r="R36" s="41">
        <f>R30/'Inputs &amp; Parameters'!$B$9</f>
        <v>0</v>
      </c>
      <c r="S36" s="41">
        <f>S30/'Inputs &amp; Parameters'!$B$9</f>
        <v>0</v>
      </c>
      <c r="T36" s="41">
        <f>T30/'Inputs &amp; Parameters'!$B$9</f>
        <v>0</v>
      </c>
      <c r="U36" s="41">
        <f>U30/'Inputs &amp; Parameters'!$B$9</f>
        <v>0</v>
      </c>
      <c r="V36" s="41">
        <f>V30/'Inputs &amp; Parameters'!$B$9</f>
        <v>0</v>
      </c>
      <c r="W36" s="41">
        <f>W30/'Inputs &amp; Parameters'!$B$9</f>
        <v>0</v>
      </c>
      <c r="X36" s="41">
        <f>X30/'Inputs &amp; Parameters'!$B$9</f>
        <v>0</v>
      </c>
      <c r="Y36" s="41">
        <f>Y30/'Inputs &amp; Parameters'!$B$9</f>
        <v>0</v>
      </c>
    </row>
    <row r="37" spans="1:25" x14ac:dyDescent="0.25">
      <c r="A37" s="46" t="s">
        <v>100</v>
      </c>
      <c r="B37" s="23">
        <v>2024</v>
      </c>
      <c r="C37" s="23">
        <f t="shared" ref="C37:Y37" si="3">B37+1</f>
        <v>2025</v>
      </c>
      <c r="D37" s="23">
        <f t="shared" si="3"/>
        <v>2026</v>
      </c>
      <c r="E37" s="23">
        <f t="shared" si="3"/>
        <v>2027</v>
      </c>
      <c r="F37" s="23">
        <f t="shared" si="3"/>
        <v>2028</v>
      </c>
      <c r="G37" s="23">
        <f t="shared" si="3"/>
        <v>2029</v>
      </c>
      <c r="H37" s="23">
        <f t="shared" si="3"/>
        <v>2030</v>
      </c>
      <c r="I37" s="23">
        <f t="shared" si="3"/>
        <v>2031</v>
      </c>
      <c r="J37" s="23">
        <f t="shared" si="3"/>
        <v>2032</v>
      </c>
      <c r="K37" s="23">
        <f t="shared" si="3"/>
        <v>2033</v>
      </c>
      <c r="L37" s="23">
        <f t="shared" si="3"/>
        <v>2034</v>
      </c>
      <c r="M37" s="23">
        <f t="shared" si="3"/>
        <v>2035</v>
      </c>
      <c r="N37" s="23">
        <f t="shared" si="3"/>
        <v>2036</v>
      </c>
      <c r="O37" s="23">
        <f t="shared" si="3"/>
        <v>2037</v>
      </c>
      <c r="P37" s="23">
        <f t="shared" si="3"/>
        <v>2038</v>
      </c>
      <c r="Q37" s="23">
        <f t="shared" si="3"/>
        <v>2039</v>
      </c>
      <c r="R37" s="23">
        <f t="shared" si="3"/>
        <v>2040</v>
      </c>
      <c r="S37" s="23">
        <f t="shared" si="3"/>
        <v>2041</v>
      </c>
      <c r="T37" s="23">
        <f t="shared" si="3"/>
        <v>2042</v>
      </c>
      <c r="U37" s="23">
        <f t="shared" si="3"/>
        <v>2043</v>
      </c>
      <c r="V37" s="23">
        <f t="shared" si="3"/>
        <v>2044</v>
      </c>
      <c r="W37" s="23">
        <f t="shared" si="3"/>
        <v>2045</v>
      </c>
      <c r="X37" s="23">
        <f t="shared" si="3"/>
        <v>2046</v>
      </c>
      <c r="Y37" s="23">
        <f t="shared" si="3"/>
        <v>2047</v>
      </c>
    </row>
    <row r="38" spans="1:25" x14ac:dyDescent="0.25">
      <c r="A38" s="21" t="s">
        <v>94</v>
      </c>
      <c r="B38" s="6">
        <v>232.85396798284322</v>
      </c>
      <c r="C38" s="6">
        <v>237.33192890559022</v>
      </c>
      <c r="D38" s="6">
        <v>240.69039959765044</v>
      </c>
      <c r="E38" s="6">
        <v>245.16836052039741</v>
      </c>
      <c r="F38" s="6">
        <v>249.64632144314442</v>
      </c>
      <c r="G38" s="6">
        <v>253.00479213520464</v>
      </c>
      <c r="H38" s="6">
        <v>257.48275305795164</v>
      </c>
      <c r="I38" s="6">
        <v>261.96071398069864</v>
      </c>
      <c r="J38" s="6">
        <v>265.31918467275887</v>
      </c>
      <c r="K38" s="6">
        <v>269.79714559550587</v>
      </c>
      <c r="L38" s="6">
        <v>274.27510651825281</v>
      </c>
      <c r="M38" s="6">
        <v>277.63357721031309</v>
      </c>
      <c r="N38" s="6">
        <v>282.11153813306004</v>
      </c>
      <c r="O38" s="6">
        <v>286.58949905580704</v>
      </c>
      <c r="P38" s="6">
        <v>289.94796974786726</v>
      </c>
      <c r="Q38" s="6">
        <v>294.42593067061426</v>
      </c>
      <c r="R38" s="6">
        <v>298.90389159336127</v>
      </c>
      <c r="S38" s="6">
        <v>303.38185251610821</v>
      </c>
      <c r="T38" s="6">
        <v>307.85981343885521</v>
      </c>
      <c r="U38" s="6">
        <v>312.33777436160221</v>
      </c>
      <c r="V38" s="6">
        <v>316.81573528434916</v>
      </c>
      <c r="W38" s="6">
        <v>321.29369620709616</v>
      </c>
      <c r="X38" s="6">
        <v>325.77165712984316</v>
      </c>
      <c r="Y38" s="6">
        <v>331.36910828327689</v>
      </c>
    </row>
    <row r="39" spans="1:25" x14ac:dyDescent="0.25">
      <c r="A39" s="21" t="s">
        <v>95</v>
      </c>
      <c r="B39" s="6">
        <v>20100</v>
      </c>
      <c r="C39" s="6">
        <v>20300</v>
      </c>
      <c r="D39" s="6">
        <v>20600</v>
      </c>
      <c r="E39" s="6">
        <v>21000</v>
      </c>
      <c r="F39" s="6">
        <v>21300</v>
      </c>
      <c r="G39" s="6">
        <v>21700</v>
      </c>
      <c r="H39" s="6">
        <v>22000</v>
      </c>
      <c r="I39" s="6">
        <v>22000</v>
      </c>
      <c r="J39" s="6">
        <v>22000</v>
      </c>
      <c r="K39" s="6">
        <v>22000</v>
      </c>
      <c r="L39" s="6">
        <v>22000</v>
      </c>
      <c r="M39" s="6">
        <v>22000</v>
      </c>
      <c r="N39" s="6">
        <v>22000</v>
      </c>
      <c r="O39" s="6">
        <v>22000</v>
      </c>
      <c r="P39" s="6">
        <v>22000</v>
      </c>
      <c r="Q39" s="6">
        <v>22000</v>
      </c>
      <c r="R39" s="6">
        <v>22000</v>
      </c>
      <c r="S39" s="6">
        <v>22000</v>
      </c>
      <c r="T39" s="6">
        <v>22000</v>
      </c>
      <c r="U39" s="6">
        <v>22000</v>
      </c>
      <c r="V39" s="6">
        <v>22000</v>
      </c>
      <c r="W39" s="6">
        <v>22000</v>
      </c>
      <c r="X39" s="6">
        <v>22000</v>
      </c>
      <c r="Y39" s="6">
        <v>22000</v>
      </c>
    </row>
    <row r="40" spans="1:25" x14ac:dyDescent="0.25">
      <c r="A40" s="21" t="s">
        <v>96</v>
      </c>
      <c r="B40" s="6">
        <v>963200</v>
      </c>
      <c r="C40" s="6">
        <v>975500</v>
      </c>
      <c r="D40" s="6">
        <v>993500</v>
      </c>
      <c r="E40" s="6">
        <v>1011900</v>
      </c>
      <c r="F40" s="6">
        <v>1030600</v>
      </c>
      <c r="G40" s="6">
        <v>1049600</v>
      </c>
      <c r="H40" s="6">
        <v>1069000</v>
      </c>
      <c r="I40" s="6">
        <v>1069000</v>
      </c>
      <c r="J40" s="6">
        <v>1069000</v>
      </c>
      <c r="K40" s="6">
        <v>1069000</v>
      </c>
      <c r="L40" s="6">
        <v>1069000</v>
      </c>
      <c r="M40" s="6">
        <v>1069000</v>
      </c>
      <c r="N40" s="6">
        <v>1069000</v>
      </c>
      <c r="O40" s="6">
        <v>1069000</v>
      </c>
      <c r="P40" s="6">
        <v>1069000</v>
      </c>
      <c r="Q40" s="6">
        <v>1069000</v>
      </c>
      <c r="R40" s="6">
        <v>1069000</v>
      </c>
      <c r="S40" s="6">
        <v>1069000</v>
      </c>
      <c r="T40" s="6">
        <v>1069000</v>
      </c>
      <c r="U40" s="6">
        <v>1069000</v>
      </c>
      <c r="V40" s="6">
        <v>1069000</v>
      </c>
      <c r="W40" s="6">
        <v>1069000</v>
      </c>
      <c r="X40" s="6">
        <v>1069000</v>
      </c>
      <c r="Y40" s="6">
        <v>1069000</v>
      </c>
    </row>
    <row r="41" spans="1:25" x14ac:dyDescent="0.25">
      <c r="A41" s="21" t="s">
        <v>97</v>
      </c>
      <c r="B41" s="6">
        <v>53800</v>
      </c>
      <c r="C41" s="6">
        <v>54800</v>
      </c>
      <c r="D41" s="6">
        <v>56100</v>
      </c>
      <c r="E41" s="6">
        <v>57400</v>
      </c>
      <c r="F41" s="6">
        <v>58700</v>
      </c>
      <c r="G41" s="6">
        <v>60100</v>
      </c>
      <c r="H41" s="6">
        <v>61500</v>
      </c>
      <c r="I41" s="6">
        <v>61500</v>
      </c>
      <c r="J41" s="6">
        <v>61500</v>
      </c>
      <c r="K41" s="6">
        <v>61500</v>
      </c>
      <c r="L41" s="6">
        <v>61500</v>
      </c>
      <c r="M41" s="6">
        <v>61500</v>
      </c>
      <c r="N41" s="6">
        <v>61500</v>
      </c>
      <c r="O41" s="6">
        <v>61500</v>
      </c>
      <c r="P41" s="6">
        <v>61500</v>
      </c>
      <c r="Q41" s="6">
        <v>61500</v>
      </c>
      <c r="R41" s="6">
        <v>61500</v>
      </c>
      <c r="S41" s="6">
        <v>61500</v>
      </c>
      <c r="T41" s="6">
        <v>61500</v>
      </c>
      <c r="U41" s="6">
        <v>61500</v>
      </c>
      <c r="V41" s="6">
        <v>61500</v>
      </c>
      <c r="W41" s="6">
        <v>61500</v>
      </c>
      <c r="X41" s="6">
        <v>61500</v>
      </c>
      <c r="Y41" s="6">
        <v>61500</v>
      </c>
    </row>
    <row r="42" spans="1:25" ht="15.75" thickBot="1" x14ac:dyDescent="0.3">
      <c r="A42" s="22" t="s">
        <v>98</v>
      </c>
      <c r="B42" s="6">
        <v>2500</v>
      </c>
      <c r="C42" s="6">
        <v>2500</v>
      </c>
      <c r="D42" s="6">
        <v>2500</v>
      </c>
      <c r="E42" s="6">
        <v>2500</v>
      </c>
      <c r="F42" s="6">
        <v>2500</v>
      </c>
      <c r="G42" s="6">
        <v>2500</v>
      </c>
      <c r="H42" s="6">
        <v>2500</v>
      </c>
      <c r="I42" s="6">
        <v>2500</v>
      </c>
      <c r="J42" s="6">
        <v>2500</v>
      </c>
      <c r="K42" s="6">
        <v>2500</v>
      </c>
      <c r="L42" s="6">
        <v>2500</v>
      </c>
      <c r="M42" s="6">
        <v>2500</v>
      </c>
      <c r="N42" s="6">
        <v>2500</v>
      </c>
      <c r="O42" s="6">
        <v>2500</v>
      </c>
      <c r="P42" s="6">
        <v>2500</v>
      </c>
      <c r="Q42" s="6">
        <v>2500</v>
      </c>
      <c r="R42" s="6">
        <v>2500</v>
      </c>
      <c r="S42" s="6">
        <v>2500</v>
      </c>
      <c r="T42" s="6">
        <v>2500</v>
      </c>
      <c r="U42" s="6">
        <v>2500</v>
      </c>
      <c r="V42" s="6">
        <v>2500</v>
      </c>
      <c r="W42" s="6">
        <v>2500</v>
      </c>
      <c r="X42" s="6">
        <v>2500</v>
      </c>
      <c r="Y42" s="6">
        <v>2500</v>
      </c>
    </row>
    <row r="43" spans="1:25" x14ac:dyDescent="0.25">
      <c r="A43" s="4" t="s">
        <v>101</v>
      </c>
    </row>
    <row r="44" spans="1:25" x14ac:dyDescent="0.25">
      <c r="A44" s="4"/>
    </row>
    <row r="45" spans="1:25" ht="20.25" thickBot="1" x14ac:dyDescent="0.35">
      <c r="A45" s="19" t="s">
        <v>302</v>
      </c>
    </row>
    <row r="46" spans="1:25" ht="15.75" thickTop="1" x14ac:dyDescent="0.25"/>
    <row r="47" spans="1:25" x14ac:dyDescent="0.25">
      <c r="A47" s="194"/>
      <c r="B47" s="195"/>
      <c r="C47" s="169"/>
      <c r="D47" s="169"/>
      <c r="E47" s="168"/>
      <c r="F47" s="168"/>
    </row>
    <row r="48" spans="1:25" ht="45" x14ac:dyDescent="0.25">
      <c r="A48" s="14" t="s">
        <v>80</v>
      </c>
      <c r="B48" s="15" t="s">
        <v>81</v>
      </c>
      <c r="C48" s="14" t="s">
        <v>68</v>
      </c>
      <c r="D48" s="14" t="s">
        <v>70</v>
      </c>
      <c r="E48" s="14" t="s">
        <v>68</v>
      </c>
      <c r="F48" s="14" t="s">
        <v>70</v>
      </c>
    </row>
    <row r="49" spans="1:6" x14ac:dyDescent="0.25">
      <c r="A49" s="12">
        <v>2002</v>
      </c>
      <c r="B49" s="25">
        <v>293626000000</v>
      </c>
      <c r="C49" s="25">
        <v>8</v>
      </c>
      <c r="D49" s="25">
        <v>17</v>
      </c>
      <c r="E49" s="5"/>
      <c r="F49" s="5"/>
    </row>
    <row r="50" spans="1:6" x14ac:dyDescent="0.25">
      <c r="A50" s="12">
        <v>2003</v>
      </c>
      <c r="B50" s="25">
        <v>278360000000</v>
      </c>
      <c r="C50" s="25">
        <v>2</v>
      </c>
      <c r="D50" s="25">
        <v>14</v>
      </c>
      <c r="E50" s="5"/>
      <c r="F50" s="5"/>
    </row>
    <row r="51" spans="1:6" x14ac:dyDescent="0.25">
      <c r="A51" s="12">
        <v>2004</v>
      </c>
      <c r="B51" s="25">
        <v>284162000000</v>
      </c>
      <c r="C51" s="25">
        <v>2</v>
      </c>
      <c r="D51" s="25">
        <v>34</v>
      </c>
      <c r="E51" s="5"/>
      <c r="F51" s="5"/>
    </row>
    <row r="52" spans="1:6" x14ac:dyDescent="0.25">
      <c r="A52" s="12">
        <v>2005</v>
      </c>
      <c r="B52" s="25">
        <v>274366000000</v>
      </c>
      <c r="C52" s="25">
        <v>11</v>
      </c>
      <c r="D52" s="25">
        <v>21</v>
      </c>
      <c r="E52" s="5"/>
      <c r="F52" s="5"/>
    </row>
    <row r="53" spans="1:6" x14ac:dyDescent="0.25">
      <c r="A53" s="12">
        <v>2006</v>
      </c>
      <c r="B53" s="25">
        <v>279858000000</v>
      </c>
      <c r="C53" s="25">
        <v>8</v>
      </c>
      <c r="D53" s="25">
        <v>22</v>
      </c>
      <c r="E53" s="5"/>
      <c r="F53" s="5"/>
    </row>
    <row r="54" spans="1:6" x14ac:dyDescent="0.25">
      <c r="A54" s="12">
        <v>2007</v>
      </c>
      <c r="B54" s="25"/>
      <c r="C54" s="25" t="s">
        <v>82</v>
      </c>
      <c r="D54" s="25"/>
      <c r="E54" s="5"/>
      <c r="F54" s="5"/>
    </row>
    <row r="55" spans="1:6" x14ac:dyDescent="0.25">
      <c r="A55" s="5" t="s">
        <v>83</v>
      </c>
      <c r="B55" s="5"/>
      <c r="C55" s="10">
        <v>11</v>
      </c>
      <c r="D55" s="10">
        <v>34</v>
      </c>
      <c r="E55" s="56">
        <f>C55/B52</f>
        <v>4.0092431277928022E-11</v>
      </c>
      <c r="F55" s="55">
        <f>D55/B51</f>
        <v>1.1965005876929357E-10</v>
      </c>
    </row>
    <row r="56" spans="1:6" x14ac:dyDescent="0.25">
      <c r="A56" s="196" t="s">
        <v>84</v>
      </c>
      <c r="B56" s="196"/>
      <c r="C56" s="196"/>
      <c r="D56" s="196"/>
      <c r="E56" s="196"/>
      <c r="F56" s="196"/>
    </row>
    <row r="57" spans="1:6" x14ac:dyDescent="0.25">
      <c r="A57" s="193" t="s">
        <v>85</v>
      </c>
      <c r="B57" s="193"/>
      <c r="C57" s="193"/>
      <c r="D57" s="193"/>
      <c r="E57" s="193"/>
      <c r="F57" s="193"/>
    </row>
    <row r="59" spans="1:6" ht="20.25" thickBot="1" x14ac:dyDescent="0.35">
      <c r="A59" s="19" t="s">
        <v>301</v>
      </c>
    </row>
    <row r="60" spans="1:6" ht="15.75" thickTop="1" x14ac:dyDescent="0.25"/>
    <row r="61" spans="1:6" x14ac:dyDescent="0.25">
      <c r="A61" s="5" t="s">
        <v>337</v>
      </c>
      <c r="B61" s="17">
        <f>77000*0.5</f>
        <v>38500</v>
      </c>
      <c r="C61" t="s">
        <v>381</v>
      </c>
    </row>
    <row r="62" spans="1:6" x14ac:dyDescent="0.25">
      <c r="A62" s="5" t="s">
        <v>338</v>
      </c>
      <c r="B62" s="130">
        <v>0.5</v>
      </c>
      <c r="C62" t="s">
        <v>380</v>
      </c>
    </row>
    <row r="63" spans="1:6" ht="30" x14ac:dyDescent="0.25">
      <c r="A63" s="87" t="s">
        <v>343</v>
      </c>
      <c r="B63" s="138">
        <v>77000</v>
      </c>
      <c r="C63" t="s">
        <v>379</v>
      </c>
    </row>
    <row r="64" spans="1:6" x14ac:dyDescent="0.25">
      <c r="A64" s="5" t="s">
        <v>300</v>
      </c>
      <c r="B64" s="25">
        <v>24</v>
      </c>
      <c r="C64" t="s">
        <v>386</v>
      </c>
    </row>
    <row r="65" spans="1:36" x14ac:dyDescent="0.25">
      <c r="A65" s="5" t="s">
        <v>299</v>
      </c>
      <c r="B65" s="25">
        <v>1</v>
      </c>
      <c r="C65" t="s">
        <v>386</v>
      </c>
    </row>
    <row r="66" spans="1:36" x14ac:dyDescent="0.25">
      <c r="A66" s="5" t="s">
        <v>309</v>
      </c>
      <c r="B66" s="18">
        <v>25</v>
      </c>
      <c r="C66" t="s">
        <v>382</v>
      </c>
    </row>
    <row r="67" spans="1:36" x14ac:dyDescent="0.25">
      <c r="A67" s="5" t="s">
        <v>310</v>
      </c>
      <c r="B67" s="18">
        <v>30</v>
      </c>
      <c r="C67" t="s">
        <v>386</v>
      </c>
    </row>
    <row r="68" spans="1:36" x14ac:dyDescent="0.25">
      <c r="A68" s="5" t="s">
        <v>297</v>
      </c>
      <c r="B68" s="17">
        <v>15000000</v>
      </c>
      <c r="C68" t="s">
        <v>386</v>
      </c>
    </row>
    <row r="69" spans="1:36" x14ac:dyDescent="0.25">
      <c r="A69" s="5" t="s">
        <v>298</v>
      </c>
      <c r="B69" s="25">
        <v>3</v>
      </c>
      <c r="C69" t="s">
        <v>386</v>
      </c>
    </row>
    <row r="70" spans="1:36" x14ac:dyDescent="0.25">
      <c r="B70" s="76"/>
    </row>
    <row r="71" spans="1:36" ht="20.25" thickBot="1" x14ac:dyDescent="0.35">
      <c r="A71" s="19" t="s">
        <v>135</v>
      </c>
      <c r="B71" s="133"/>
    </row>
    <row r="72" spans="1:36" ht="15.75" thickTop="1" x14ac:dyDescent="0.25">
      <c r="F72" s="7"/>
    </row>
    <row r="73" spans="1:36" s="74" customFormat="1" ht="45" x14ac:dyDescent="0.25">
      <c r="A73" s="137" t="s">
        <v>80</v>
      </c>
      <c r="B73" s="15" t="s">
        <v>150</v>
      </c>
      <c r="C73" s="15" t="s">
        <v>194</v>
      </c>
      <c r="D73" s="15" t="s">
        <v>195</v>
      </c>
      <c r="F73" s="15" t="s">
        <v>151</v>
      </c>
      <c r="G73" s="15" t="s">
        <v>330</v>
      </c>
      <c r="H73" s="15" t="s">
        <v>226</v>
      </c>
      <c r="I73" s="15" t="s">
        <v>331</v>
      </c>
      <c r="J73" s="15" t="s">
        <v>228</v>
      </c>
      <c r="K73" s="15" t="s">
        <v>332</v>
      </c>
      <c r="L73" s="15" t="s">
        <v>296</v>
      </c>
      <c r="M73" s="15" t="s">
        <v>336</v>
      </c>
      <c r="N73" s="15" t="s">
        <v>44</v>
      </c>
      <c r="O73" s="15" t="s">
        <v>141</v>
      </c>
      <c r="Q73" s="15" t="s">
        <v>94</v>
      </c>
      <c r="R73" s="15" t="s">
        <v>320</v>
      </c>
      <c r="S73" s="15" t="s">
        <v>95</v>
      </c>
      <c r="T73" s="15" t="s">
        <v>335</v>
      </c>
      <c r="U73" s="15" t="s">
        <v>96</v>
      </c>
      <c r="V73" s="15" t="s">
        <v>334</v>
      </c>
      <c r="W73" s="15" t="s">
        <v>97</v>
      </c>
      <c r="X73" s="15" t="s">
        <v>333</v>
      </c>
      <c r="Y73" s="15" t="s">
        <v>44</v>
      </c>
      <c r="Z73" s="15" t="s">
        <v>141</v>
      </c>
      <c r="AB73" s="15" t="s">
        <v>127</v>
      </c>
      <c r="AC73" s="15" t="s">
        <v>328</v>
      </c>
      <c r="AD73" s="15" t="s">
        <v>140</v>
      </c>
      <c r="AE73" s="15" t="s">
        <v>327</v>
      </c>
      <c r="AF73" s="15" t="s">
        <v>44</v>
      </c>
      <c r="AG73" s="15" t="s">
        <v>141</v>
      </c>
      <c r="AI73" s="15" t="s">
        <v>44</v>
      </c>
      <c r="AJ73" s="15" t="s">
        <v>141</v>
      </c>
    </row>
    <row r="74" spans="1:36" x14ac:dyDescent="0.25">
      <c r="A74" s="84">
        <f>B4</f>
        <v>2028</v>
      </c>
      <c r="B74" s="85">
        <f t="shared" ref="B74:B93" si="4">$B$9*12</f>
        <v>259.66954545454547</v>
      </c>
      <c r="C74" s="85">
        <f>B74*'Inputs &amp; Parameters'!$C$20/60</f>
        <v>4674.0518181818188</v>
      </c>
      <c r="D74" s="85">
        <f>B74*'Inputs &amp; Parameters'!$B$20</f>
        <v>34065.750865891372</v>
      </c>
      <c r="E74" s="91"/>
      <c r="F74" s="86">
        <f>(($B$10/$B$21)*'Inputs &amp; Parameters'!$B$7 + ('Barge - Liquid'!$B$68/'Barge - Liquid'!$B$66)*'Barge - Liquid'!$B$69)</f>
        <v>2013925.3452709387</v>
      </c>
      <c r="G74" s="86">
        <f>(($B$10/$B$21)*'Inputs &amp; Parameters'!$B$7 + ('Barge - Liquid'!$B$68/'Barge - Liquid'!$B$66)*'Barge - Liquid'!$B$69)*VLOOKUP($A74,NPV!$B$3:$C$44,2,0)</f>
        <v>1676839.0369729612</v>
      </c>
      <c r="H74" s="86">
        <f>SUM(($B$5-1)*C74*$B$7,1*C74*$B$6)</f>
        <v>1032965.451818182</v>
      </c>
      <c r="I74" s="86">
        <f>SUM(($B$5-1)*C74*$B$7,1*C74*$B$6)*VLOOKUP($A74,NPV!$B$3:$C$44,2,0)</f>
        <v>860070.01079780038</v>
      </c>
      <c r="J74" s="86">
        <f>$B$61*0.75*(1+$B$62)</f>
        <v>43312.5</v>
      </c>
      <c r="K74" s="86">
        <f>$B$61*0.75*(1+$B$62)*VLOOKUP($A74,NPV!$B$3:$C$44,2,0)</f>
        <v>36062.950873246264</v>
      </c>
      <c r="L74" s="86">
        <f>(B74*($B$12*$B$8))*($B$13/365)*($B$64/24)</f>
        <v>111329.79333125385</v>
      </c>
      <c r="M74" s="86">
        <f>(B74*($B$12*$B$8))*($B$13/365)*($B$64/24)*VLOOKUP($A74,NPV!$B$3:$C$44,2,0)</f>
        <v>92695.662167588278</v>
      </c>
      <c r="N74" s="86">
        <f>SUM(F74,H74,J74,L74)</f>
        <v>3201533.0904203746</v>
      </c>
      <c r="O74" s="86">
        <f>SUM(G74,I74,K74,M74)</f>
        <v>2665667.6608115961</v>
      </c>
      <c r="P74" s="8"/>
      <c r="Q74" s="86">
        <f>$D74*HLOOKUP($A74,'Barge - Liquid'!$A$31:$Y$36,2,FALSE)*HLOOKUP($A74,'Barge - Liquid'!$A$37:$Y$42,2,FALSE)</f>
        <v>211220.98682234844</v>
      </c>
      <c r="R74" s="86">
        <f>$D74*HLOOKUP($A74,'Barge - Liquid'!$A$31:$Y$36,2,FALSE)*HLOOKUP($A74,'Barge - Liquid'!$A$37:$Y$42,2,FALSE)*VLOOKUP($A74,NPV!$B$3:$D$44,3,0)</f>
        <v>187558.1916153722</v>
      </c>
      <c r="S74" s="86">
        <f>$D74*HLOOKUP($A74,'Barge - Liquid'!$A$31:$Y$36,3,FALSE)*HLOOKUP($A74,'Barge - Liquid'!$A$37:$Y$42,3,FALSE)</f>
        <v>0</v>
      </c>
      <c r="T74" s="86">
        <f>$D74*HLOOKUP($A74,'Barge - Liquid'!$A$31:$Y$36,3,FALSE)*HLOOKUP($A74,'Barge - Liquid'!$A$37:$Y$42,3,FALSE)*VLOOKUP($A74,NPV!$B$3:$C$44,2,0)</f>
        <v>0</v>
      </c>
      <c r="U74" s="86">
        <f>$D74*HLOOKUP($A74,'Barge - Liquid'!$A$31:$Y$36,4,FALSE)*HLOOKUP($A74,'Barge - Liquid'!$A$37:$Y$42,4,FALSE)</f>
        <v>0</v>
      </c>
      <c r="V74" s="86">
        <f>$D74*HLOOKUP($A74,'Barge - Liquid'!$A$31:$Y$36,4,FALSE)*HLOOKUP($A74,'Barge - Liquid'!$A$37:$Y$42,4,FALSE)*VLOOKUP($A74,NPV!$B$3:$C$44,2,0)</f>
        <v>0</v>
      </c>
      <c r="W74" s="86">
        <f>$D74*HLOOKUP($A74,'Barge - Liquid'!$A$31:$Y$36,5,FALSE)*HLOOKUP($A74,'Barge - Liquid'!$A$37:$Y$42,5,FALSE)</f>
        <v>0</v>
      </c>
      <c r="X74" s="86">
        <f>$D74*HLOOKUP($A74,'Barge - Liquid'!$A$31:$Y$36,5,FALSE)*HLOOKUP($A74,'Barge - Liquid'!$A$37:$Y$42,5,FALSE)*VLOOKUP($A74,NPV!$B$3:$C$44,2,0)</f>
        <v>0</v>
      </c>
      <c r="Y74" s="86">
        <f>SUM(Q74,S74,U74,W74)</f>
        <v>211220.98682234844</v>
      </c>
      <c r="Z74" s="86">
        <f>SUM(R74,T74,V74,X74)</f>
        <v>187558.1916153722</v>
      </c>
      <c r="AB74" s="86">
        <f>$B$11*'Barge - Liquid'!$F$55*'Inputs &amp; Parameters'!$B$45</f>
        <v>1463.4359431952466</v>
      </c>
      <c r="AC74" s="86">
        <f>$B$11*'Barge - Liquid'!$F$55*'Inputs &amp; Parameters'!$B$45*VLOOKUP($A74,NPV!$B$3:$C$44,2,0)</f>
        <v>1218.4893166082077</v>
      </c>
      <c r="AD74" s="86">
        <f>$B$11*'Barge - Liquid'!$E$55*'Inputs &amp; Parameters'!$B$44</f>
        <v>28169.18724513644</v>
      </c>
      <c r="AE74" s="86">
        <f>$B$11*'Barge - Liquid'!$E$55*'Inputs &amp; Parameters'!$B$44*VLOOKUP($A74,NPV!$B$3:$C$44,2,0)</f>
        <v>23454.291850173293</v>
      </c>
      <c r="AF74" s="86">
        <f>SUM(AB74,AD74)</f>
        <v>29632.623188331687</v>
      </c>
      <c r="AG74" s="86">
        <f>SUM(AC74,AE74)</f>
        <v>24672.7811667815</v>
      </c>
      <c r="AI74" s="86">
        <f t="shared" ref="AI74:AI93" si="5">SUM(N74,Y74,AF74)</f>
        <v>3442386.7004310549</v>
      </c>
      <c r="AJ74" s="86">
        <f t="shared" ref="AJ74:AJ93" si="6">SUM(O74,Z74,AG74)</f>
        <v>2877898.6335937502</v>
      </c>
    </row>
    <row r="75" spans="1:36" x14ac:dyDescent="0.25">
      <c r="A75" s="5">
        <f t="shared" ref="A75:A93" si="7">A74+1</f>
        <v>2029</v>
      </c>
      <c r="B75" s="10">
        <f t="shared" si="4"/>
        <v>259.66954545454547</v>
      </c>
      <c r="C75" s="10">
        <f>B75*'Inputs &amp; Parameters'!$C$20/60</f>
        <v>4674.0518181818188</v>
      </c>
      <c r="D75" s="10">
        <f>B75*'Inputs &amp; Parameters'!$B$20</f>
        <v>34065.750865891372</v>
      </c>
      <c r="F75" s="86">
        <f>(($B$10/$B$21)*'Inputs &amp; Parameters'!$B$7 + ('Barge - Liquid'!$B$68/'Barge - Liquid'!$B$66)*'Barge - Liquid'!$B$69)</f>
        <v>2013925.3452709387</v>
      </c>
      <c r="G75" s="86">
        <f>(($B$10/$B$21)*'Inputs &amp; Parameters'!$B$7 + ('Barge - Liquid'!$B$68/'Barge - Liquid'!$B$66)*'Barge - Liquid'!$B$69)*VLOOKUP($A75,NPV!$B$3:$C$44,2,0)</f>
        <v>1626420.0164626203</v>
      </c>
      <c r="H75" s="86">
        <f t="shared" ref="H75:H93" si="8">SUM(($B$5-1)*C75*$B$7,1*C75*$B$6)</f>
        <v>1032965.451818182</v>
      </c>
      <c r="I75" s="86">
        <f>SUM(($B$5-1)*C75*$B$7,1*C75*$B$6)*VLOOKUP($A75,NPV!$B$3:$C$44,2,0)</f>
        <v>834209.51580775995</v>
      </c>
      <c r="J75" s="86">
        <f t="shared" ref="J75:J93" si="9">$B$61*0.75*(1+$B$62)</f>
        <v>43312.5</v>
      </c>
      <c r="K75" s="86">
        <f>$B$61*0.75*(1+$B$62)*VLOOKUP($A75,NPV!$B$3:$C$44,2,0)</f>
        <v>34978.613844079795</v>
      </c>
      <c r="L75" s="86">
        <f t="shared" ref="L75:L93" si="10">(B75*($B$12*$B$8))*($B$13/365)*($B$64/24)</f>
        <v>111329.79333125385</v>
      </c>
      <c r="M75" s="86">
        <f>(B75*($B$12*$B$8))*($B$13/365)*($B$64/24)*VLOOKUP($A75,NPV!$B$3:$C$44,2,0)</f>
        <v>89908.498707651102</v>
      </c>
      <c r="N75" s="86">
        <f t="shared" ref="N75:N93" si="11">SUM(F75,H75,J75,L75)</f>
        <v>3201533.0904203746</v>
      </c>
      <c r="O75" s="86">
        <f t="shared" ref="O75:O93" si="12">SUM(G75,I75,K75,M75)</f>
        <v>2585516.6448221114</v>
      </c>
      <c r="P75" s="8"/>
      <c r="Q75" s="86">
        <f>$D75*HLOOKUP($A75,'Barge - Liquid'!$A$31:$Y$36,2,FALSE)*HLOOKUP($A75,'Barge - Liquid'!$A$37:$Y$42,2,FALSE)</f>
        <v>214062.52476166253</v>
      </c>
      <c r="R75" s="86">
        <f>$D75*HLOOKUP($A75,'Barge - Liquid'!$A$31:$Y$36,2,FALSE)*HLOOKUP($A75,'Barge - Liquid'!$A$37:$Y$42,2,FALSE)*VLOOKUP($A75,NPV!$B$3:$D$44,3,0)</f>
        <v>186354.3097910583</v>
      </c>
      <c r="S75" s="86">
        <f>$D75*HLOOKUP($A75,'Barge - Liquid'!$A$31:$Y$36,3,FALSE)*HLOOKUP($A75,'Barge - Liquid'!$A$37:$Y$42,3,FALSE)</f>
        <v>0</v>
      </c>
      <c r="T75" s="86">
        <f>$D75*HLOOKUP($A75,'Barge - Liquid'!$A$31:$Y$36,3,FALSE)*HLOOKUP($A75,'Barge - Liquid'!$A$37:$Y$42,3,FALSE)*VLOOKUP($A75,NPV!$B$3:$C$44,2,0)</f>
        <v>0</v>
      </c>
      <c r="U75" s="86">
        <f>$D75*HLOOKUP($A75,'Barge - Liquid'!$A$31:$Y$36,4,FALSE)*HLOOKUP($A75,'Barge - Liquid'!$A$37:$Y$42,4,FALSE)</f>
        <v>0</v>
      </c>
      <c r="V75" s="86">
        <f>$D75*HLOOKUP($A75,'Barge - Liquid'!$A$31:$Y$36,4,FALSE)*HLOOKUP($A75,'Barge - Liquid'!$A$37:$Y$42,4,FALSE)*VLOOKUP($A75,NPV!$B$3:$C$44,2,0)</f>
        <v>0</v>
      </c>
      <c r="W75" s="86">
        <f>$D75*HLOOKUP($A75,'Barge - Liquid'!$A$31:$Y$36,5,FALSE)*HLOOKUP($A75,'Barge - Liquid'!$A$37:$Y$42,5,FALSE)</f>
        <v>0</v>
      </c>
      <c r="X75" s="86">
        <f>$D75*HLOOKUP($A75,'Barge - Liquid'!$A$31:$Y$36,5,FALSE)*HLOOKUP($A75,'Barge - Liquid'!$A$37:$Y$42,5,FALSE)*VLOOKUP($A75,NPV!$B$3:$C$44,2,0)</f>
        <v>0</v>
      </c>
      <c r="Y75" s="86">
        <f t="shared" ref="Y75:Y93" si="13">SUM(Q75,S75,U75,W75)</f>
        <v>214062.52476166253</v>
      </c>
      <c r="Z75" s="86">
        <f t="shared" ref="Z75:Z93" si="14">SUM(R75,T75,V75,X75)</f>
        <v>186354.3097910583</v>
      </c>
      <c r="AB75" s="86">
        <f>$B$11*'Barge - Liquid'!$F$55*'Inputs &amp; Parameters'!$B$45</f>
        <v>1463.4359431952466</v>
      </c>
      <c r="AC75" s="86">
        <f>$B$11*'Barge - Liquid'!$F$55*'Inputs &amp; Parameters'!$B$45*VLOOKUP($A75,NPV!$B$3:$C$44,2,0)</f>
        <v>1181.8519074764381</v>
      </c>
      <c r="AD75" s="86">
        <f>$B$11*'Barge - Liquid'!$E$55*'Inputs &amp; Parameters'!$B$44</f>
        <v>28169.18724513644</v>
      </c>
      <c r="AE75" s="86">
        <f>$B$11*'Barge - Liquid'!$E$55*'Inputs &amp; Parameters'!$B$44*VLOOKUP($A75,NPV!$B$3:$C$44,2,0)</f>
        <v>22749.070659721918</v>
      </c>
      <c r="AF75" s="86">
        <f t="shared" ref="AF75:AF93" si="15">SUM(AB75,AD75)</f>
        <v>29632.623188331687</v>
      </c>
      <c r="AG75" s="86">
        <f t="shared" ref="AG75:AG93" si="16">SUM(AC75,AE75)</f>
        <v>23930.922567198355</v>
      </c>
      <c r="AI75" s="16">
        <f t="shared" si="5"/>
        <v>3445228.2383703687</v>
      </c>
      <c r="AJ75" s="16">
        <f t="shared" si="6"/>
        <v>2795801.8771803682</v>
      </c>
    </row>
    <row r="76" spans="1:36" x14ac:dyDescent="0.25">
      <c r="A76" s="5">
        <f t="shared" si="7"/>
        <v>2030</v>
      </c>
      <c r="B76" s="10">
        <f t="shared" si="4"/>
        <v>259.66954545454547</v>
      </c>
      <c r="C76" s="10">
        <f>B76*'Inputs &amp; Parameters'!$C$20/60</f>
        <v>4674.0518181818188</v>
      </c>
      <c r="D76" s="10">
        <f>B76*'Inputs &amp; Parameters'!$B$20</f>
        <v>34065.750865891372</v>
      </c>
      <c r="F76" s="86">
        <f>(($B$10/$B$21)*'Inputs &amp; Parameters'!$B$7 + ('Barge - Liquid'!$B$68/'Barge - Liquid'!$B$66)*'Barge - Liquid'!$B$69)</f>
        <v>2013925.3452709387</v>
      </c>
      <c r="G76" s="86">
        <f>(($B$10/$B$21)*'Inputs &amp; Parameters'!$B$7 + ('Barge - Liquid'!$B$68/'Barge - Liquid'!$B$66)*'Barge - Liquid'!$B$69)*VLOOKUP($A76,NPV!$B$3:$C$44,2,0)</f>
        <v>1577516.9897794572</v>
      </c>
      <c r="H76" s="86">
        <f t="shared" si="8"/>
        <v>1032965.451818182</v>
      </c>
      <c r="I76" s="86">
        <f>SUM(($B$5-1)*C76*$B$7,1*C76*$B$6)*VLOOKUP($A76,NPV!$B$3:$C$44,2,0)</f>
        <v>809126.5914721241</v>
      </c>
      <c r="J76" s="86">
        <f t="shared" si="9"/>
        <v>43312.5</v>
      </c>
      <c r="K76" s="86">
        <f>$B$61*0.75*(1+$B$62)*VLOOKUP($A76,NPV!$B$3:$C$44,2,0)</f>
        <v>33926.880547119108</v>
      </c>
      <c r="L76" s="86">
        <f t="shared" si="10"/>
        <v>111329.79333125385</v>
      </c>
      <c r="M76" s="86">
        <f>(B76*($B$12*$B$8))*($B$13/365)*($B$64/24)*VLOOKUP($A76,NPV!$B$3:$C$44,2,0)</f>
        <v>87205.139386664508</v>
      </c>
      <c r="N76" s="86">
        <f t="shared" si="11"/>
        <v>3201533.0904203746</v>
      </c>
      <c r="O76" s="86">
        <f t="shared" si="12"/>
        <v>2507775.6011853651</v>
      </c>
      <c r="P76" s="8"/>
      <c r="Q76" s="86">
        <f>$D76*HLOOKUP($A76,'Barge - Liquid'!$A$31:$Y$36,2,FALSE)*HLOOKUP($A76,'Barge - Liquid'!$A$37:$Y$42,2,FALSE)</f>
        <v>217851.24201408133</v>
      </c>
      <c r="R76" s="86">
        <f>$D76*HLOOKUP($A76,'Barge - Liquid'!$A$31:$Y$36,2,FALSE)*HLOOKUP($A76,'Barge - Liquid'!$A$37:$Y$42,2,FALSE)*VLOOKUP($A76,NPV!$B$3:$D$44,3,0)</f>
        <v>185933.93741082511</v>
      </c>
      <c r="S76" s="86">
        <f>$D76*HLOOKUP($A76,'Barge - Liquid'!$A$31:$Y$36,3,FALSE)*HLOOKUP($A76,'Barge - Liquid'!$A$37:$Y$42,3,FALSE)</f>
        <v>0</v>
      </c>
      <c r="T76" s="86">
        <f>$D76*HLOOKUP($A76,'Barge - Liquid'!$A$31:$Y$36,3,FALSE)*HLOOKUP($A76,'Barge - Liquid'!$A$37:$Y$42,3,FALSE)*VLOOKUP($A76,NPV!$B$3:$C$44,2,0)</f>
        <v>0</v>
      </c>
      <c r="U76" s="86">
        <f>$D76*HLOOKUP($A76,'Barge - Liquid'!$A$31:$Y$36,4,FALSE)*HLOOKUP($A76,'Barge - Liquid'!$A$37:$Y$42,4,FALSE)</f>
        <v>0</v>
      </c>
      <c r="V76" s="86">
        <f>$D76*HLOOKUP($A76,'Barge - Liquid'!$A$31:$Y$36,4,FALSE)*HLOOKUP($A76,'Barge - Liquid'!$A$37:$Y$42,4,FALSE)*VLOOKUP($A76,NPV!$B$3:$C$44,2,0)</f>
        <v>0</v>
      </c>
      <c r="W76" s="86">
        <f>$D76*HLOOKUP($A76,'Barge - Liquid'!$A$31:$Y$36,5,FALSE)*HLOOKUP($A76,'Barge - Liquid'!$A$37:$Y$42,5,FALSE)</f>
        <v>0</v>
      </c>
      <c r="X76" s="86">
        <f>$D76*HLOOKUP($A76,'Barge - Liquid'!$A$31:$Y$36,5,FALSE)*HLOOKUP($A76,'Barge - Liquid'!$A$37:$Y$42,5,FALSE)*VLOOKUP($A76,NPV!$B$3:$C$44,2,0)</f>
        <v>0</v>
      </c>
      <c r="Y76" s="86">
        <f t="shared" si="13"/>
        <v>217851.24201408133</v>
      </c>
      <c r="Z76" s="86">
        <f t="shared" si="14"/>
        <v>185933.93741082511</v>
      </c>
      <c r="AB76" s="86">
        <f>$B$11*'Barge - Liquid'!$F$55*'Inputs &amp; Parameters'!$B$45</f>
        <v>1463.4359431952466</v>
      </c>
      <c r="AC76" s="86">
        <f>$B$11*'Barge - Liquid'!$F$55*'Inputs &amp; Parameters'!$B$45*VLOOKUP($A76,NPV!$B$3:$C$44,2,0)</f>
        <v>1146.3161081245764</v>
      </c>
      <c r="AD76" s="86">
        <f>$B$11*'Barge - Liquid'!$E$55*'Inputs &amp; Parameters'!$B$44</f>
        <v>28169.18724513644</v>
      </c>
      <c r="AE76" s="86">
        <f>$B$11*'Barge - Liquid'!$E$55*'Inputs &amp; Parameters'!$B$44*VLOOKUP($A76,NPV!$B$3:$C$44,2,0)</f>
        <v>22065.05398615123</v>
      </c>
      <c r="AF76" s="86">
        <f t="shared" si="15"/>
        <v>29632.623188331687</v>
      </c>
      <c r="AG76" s="86">
        <f t="shared" si="16"/>
        <v>23211.370094275808</v>
      </c>
      <c r="AI76" s="16">
        <f t="shared" si="5"/>
        <v>3449016.9556227876</v>
      </c>
      <c r="AJ76" s="16">
        <f t="shared" si="6"/>
        <v>2716920.9086904661</v>
      </c>
    </row>
    <row r="77" spans="1:36" x14ac:dyDescent="0.25">
      <c r="A77" s="5">
        <f t="shared" si="7"/>
        <v>2031</v>
      </c>
      <c r="B77" s="10">
        <f t="shared" si="4"/>
        <v>259.66954545454547</v>
      </c>
      <c r="C77" s="10">
        <f>B77*'Inputs &amp; Parameters'!$C$20/60</f>
        <v>4674.0518181818188</v>
      </c>
      <c r="D77" s="10">
        <f>B77*'Inputs &amp; Parameters'!$B$20</f>
        <v>34065.750865891372</v>
      </c>
      <c r="F77" s="86">
        <f>(($B$10/$B$21)*'Inputs &amp; Parameters'!$B$7 + ('Barge - Liquid'!$B$68/'Barge - Liquid'!$B$66)*'Barge - Liquid'!$B$69)</f>
        <v>2013925.3452709387</v>
      </c>
      <c r="G77" s="86">
        <f>(($B$10/$B$21)*'Inputs &amp; Parameters'!$B$7 + ('Barge - Liquid'!$B$68/'Barge - Liquid'!$B$66)*'Barge - Liquid'!$B$69)*VLOOKUP($A77,NPV!$B$3:$C$44,2,0)</f>
        <v>1530084.3741798811</v>
      </c>
      <c r="H77" s="86">
        <f t="shared" si="8"/>
        <v>1032965.451818182</v>
      </c>
      <c r="I77" s="86">
        <f>SUM(($B$5-1)*C77*$B$7,1*C77*$B$6)*VLOOKUP($A77,NPV!$B$3:$C$44,2,0)</f>
        <v>784797.85787790909</v>
      </c>
      <c r="J77" s="86">
        <f t="shared" si="9"/>
        <v>43312.5</v>
      </c>
      <c r="K77" s="86">
        <f>$B$61*0.75*(1+$B$62)*VLOOKUP($A77,NPV!$B$3:$C$44,2,0)</f>
        <v>32906.77065675956</v>
      </c>
      <c r="L77" s="86">
        <f t="shared" si="10"/>
        <v>111329.79333125385</v>
      </c>
      <c r="M77" s="86">
        <f>(B77*($B$12*$B$8))*($B$13/365)*($B$64/24)*VLOOKUP($A77,NPV!$B$3:$C$44,2,0)</f>
        <v>84583.064390557251</v>
      </c>
      <c r="N77" s="86">
        <f t="shared" si="11"/>
        <v>3201533.0904203746</v>
      </c>
      <c r="O77" s="86">
        <f t="shared" si="12"/>
        <v>2432372.067105107</v>
      </c>
      <c r="P77" s="8"/>
      <c r="Q77" s="86">
        <f>$D77*HLOOKUP($A77,'Barge - Liquid'!$A$31:$Y$36,2,FALSE)*HLOOKUP($A77,'Barge - Liquid'!$A$37:$Y$42,2,FALSE)</f>
        <v>221639.95926650014</v>
      </c>
      <c r="R77" s="86">
        <f>$D77*HLOOKUP($A77,'Barge - Liquid'!$A$31:$Y$36,2,FALSE)*HLOOKUP($A77,'Barge - Liquid'!$A$37:$Y$42,2,FALSE)*VLOOKUP($A77,NPV!$B$3:$D$44,3,0)</f>
        <v>185458.40304404552</v>
      </c>
      <c r="S77" s="86">
        <f>$D77*HLOOKUP($A77,'Barge - Liquid'!$A$31:$Y$36,3,FALSE)*HLOOKUP($A77,'Barge - Liquid'!$A$37:$Y$42,3,FALSE)</f>
        <v>0</v>
      </c>
      <c r="T77" s="86">
        <f>$D77*HLOOKUP($A77,'Barge - Liquid'!$A$31:$Y$36,3,FALSE)*HLOOKUP($A77,'Barge - Liquid'!$A$37:$Y$42,3,FALSE)*VLOOKUP($A77,NPV!$B$3:$C$44,2,0)</f>
        <v>0</v>
      </c>
      <c r="U77" s="86">
        <f>$D77*HLOOKUP($A77,'Barge - Liquid'!$A$31:$Y$36,4,FALSE)*HLOOKUP($A77,'Barge - Liquid'!$A$37:$Y$42,4,FALSE)</f>
        <v>0</v>
      </c>
      <c r="V77" s="86">
        <f>$D77*HLOOKUP($A77,'Barge - Liquid'!$A$31:$Y$36,4,FALSE)*HLOOKUP($A77,'Barge - Liquid'!$A$37:$Y$42,4,FALSE)*VLOOKUP($A77,NPV!$B$3:$C$44,2,0)</f>
        <v>0</v>
      </c>
      <c r="W77" s="86">
        <f>$D77*HLOOKUP($A77,'Barge - Liquid'!$A$31:$Y$36,5,FALSE)*HLOOKUP($A77,'Barge - Liquid'!$A$37:$Y$42,5,FALSE)</f>
        <v>0</v>
      </c>
      <c r="X77" s="86">
        <f>$D77*HLOOKUP($A77,'Barge - Liquid'!$A$31:$Y$36,5,FALSE)*HLOOKUP($A77,'Barge - Liquid'!$A$37:$Y$42,5,FALSE)*VLOOKUP($A77,NPV!$B$3:$C$44,2,0)</f>
        <v>0</v>
      </c>
      <c r="Y77" s="86">
        <f t="shared" si="13"/>
        <v>221639.95926650014</v>
      </c>
      <c r="Z77" s="86">
        <f t="shared" si="14"/>
        <v>185458.40304404552</v>
      </c>
      <c r="AB77" s="86">
        <f>$B$11*'Barge - Liquid'!$F$55*'Inputs &amp; Parameters'!$B$45</f>
        <v>1463.4359431952466</v>
      </c>
      <c r="AC77" s="86">
        <f>$B$11*'Barge - Liquid'!$F$55*'Inputs &amp; Parameters'!$B$45*VLOOKUP($A77,NPV!$B$3:$C$44,2,0)</f>
        <v>1111.8487954651566</v>
      </c>
      <c r="AD77" s="86">
        <f>$B$11*'Barge - Liquid'!$E$55*'Inputs &amp; Parameters'!$B$44</f>
        <v>28169.18724513644</v>
      </c>
      <c r="AE77" s="86">
        <f>$B$11*'Barge - Liquid'!$E$55*'Inputs &amp; Parameters'!$B$44*VLOOKUP($A77,NPV!$B$3:$C$44,2,0)</f>
        <v>21401.604254268896</v>
      </c>
      <c r="AF77" s="86">
        <f t="shared" si="15"/>
        <v>29632.623188331687</v>
      </c>
      <c r="AG77" s="86">
        <f t="shared" si="16"/>
        <v>22513.453049734053</v>
      </c>
      <c r="AI77" s="16">
        <f t="shared" si="5"/>
        <v>3452805.6728752065</v>
      </c>
      <c r="AJ77" s="16">
        <f t="shared" si="6"/>
        <v>2640343.9231988867</v>
      </c>
    </row>
    <row r="78" spans="1:36" x14ac:dyDescent="0.25">
      <c r="A78" s="5">
        <f t="shared" si="7"/>
        <v>2032</v>
      </c>
      <c r="B78" s="10">
        <f t="shared" si="4"/>
        <v>259.66954545454547</v>
      </c>
      <c r="C78" s="10">
        <f>B78*'Inputs &amp; Parameters'!$C$20/60</f>
        <v>4674.0518181818188</v>
      </c>
      <c r="D78" s="10">
        <f>B78*'Inputs &amp; Parameters'!$B$20</f>
        <v>34065.750865891372</v>
      </c>
      <c r="F78" s="86">
        <f>(($B$10/$B$21)*'Inputs &amp; Parameters'!$B$7 + ('Barge - Liquid'!$B$68/'Barge - Liquid'!$B$66)*'Barge - Liquid'!$B$69)</f>
        <v>2013925.3452709387</v>
      </c>
      <c r="G78" s="86">
        <f>(($B$10/$B$21)*'Inputs &amp; Parameters'!$B$7 + ('Barge - Liquid'!$B$68/'Barge - Liquid'!$B$66)*'Barge - Liquid'!$B$69)*VLOOKUP($A78,NPV!$B$3:$C$44,2,0)</f>
        <v>1484077.9574974598</v>
      </c>
      <c r="H78" s="86">
        <f t="shared" si="8"/>
        <v>1032965.451818182</v>
      </c>
      <c r="I78" s="86">
        <f>SUM(($B$5-1)*C78*$B$7,1*C78*$B$6)*VLOOKUP($A78,NPV!$B$3:$C$44,2,0)</f>
        <v>761200.63809690508</v>
      </c>
      <c r="J78" s="86">
        <f t="shared" si="9"/>
        <v>43312.5</v>
      </c>
      <c r="K78" s="86">
        <f>$B$61*0.75*(1+$B$62)*VLOOKUP($A78,NPV!$B$3:$C$44,2,0)</f>
        <v>31917.333323724117</v>
      </c>
      <c r="L78" s="86">
        <f t="shared" si="10"/>
        <v>111329.79333125385</v>
      </c>
      <c r="M78" s="86">
        <f>(B78*($B$12*$B$8))*($B$13/365)*($B$64/24)*VLOOKUP($A78,NPV!$B$3:$C$44,2,0)</f>
        <v>82039.829670763575</v>
      </c>
      <c r="N78" s="86">
        <f t="shared" si="11"/>
        <v>3201533.0904203746</v>
      </c>
      <c r="O78" s="86">
        <f t="shared" si="12"/>
        <v>2359235.7585888528</v>
      </c>
      <c r="P78" s="8"/>
      <c r="Q78" s="86">
        <f>$D78*HLOOKUP($A78,'Barge - Liquid'!$A$31:$Y$36,2,FALSE)*HLOOKUP($A78,'Barge - Liquid'!$A$37:$Y$42,2,FALSE)</f>
        <v>224481.49720581426</v>
      </c>
      <c r="R78" s="86">
        <f>$D78*HLOOKUP($A78,'Barge - Liquid'!$A$31:$Y$36,2,FALSE)*HLOOKUP($A78,'Barge - Liquid'!$A$37:$Y$42,2,FALSE)*VLOOKUP($A78,NPV!$B$3:$D$44,3,0)</f>
        <v>184153.01458621916</v>
      </c>
      <c r="S78" s="86">
        <f>$D78*HLOOKUP($A78,'Barge - Liquid'!$A$31:$Y$36,3,FALSE)*HLOOKUP($A78,'Barge - Liquid'!$A$37:$Y$42,3,FALSE)</f>
        <v>0</v>
      </c>
      <c r="T78" s="86">
        <f>$D78*HLOOKUP($A78,'Barge - Liquid'!$A$31:$Y$36,3,FALSE)*HLOOKUP($A78,'Barge - Liquid'!$A$37:$Y$42,3,FALSE)*VLOOKUP($A78,NPV!$B$3:$C$44,2,0)</f>
        <v>0</v>
      </c>
      <c r="U78" s="86">
        <f>$D78*HLOOKUP($A78,'Barge - Liquid'!$A$31:$Y$36,4,FALSE)*HLOOKUP($A78,'Barge - Liquid'!$A$37:$Y$42,4,FALSE)</f>
        <v>0</v>
      </c>
      <c r="V78" s="86">
        <f>$D78*HLOOKUP($A78,'Barge - Liquid'!$A$31:$Y$36,4,FALSE)*HLOOKUP($A78,'Barge - Liquid'!$A$37:$Y$42,4,FALSE)*VLOOKUP($A78,NPV!$B$3:$C$44,2,0)</f>
        <v>0</v>
      </c>
      <c r="W78" s="86">
        <f>$D78*HLOOKUP($A78,'Barge - Liquid'!$A$31:$Y$36,5,FALSE)*HLOOKUP($A78,'Barge - Liquid'!$A$37:$Y$42,5,FALSE)</f>
        <v>0</v>
      </c>
      <c r="X78" s="86">
        <f>$D78*HLOOKUP($A78,'Barge - Liquid'!$A$31:$Y$36,5,FALSE)*HLOOKUP($A78,'Barge - Liquid'!$A$37:$Y$42,5,FALSE)*VLOOKUP($A78,NPV!$B$3:$C$44,2,0)</f>
        <v>0</v>
      </c>
      <c r="Y78" s="86">
        <f t="shared" si="13"/>
        <v>224481.49720581426</v>
      </c>
      <c r="Z78" s="86">
        <f t="shared" si="14"/>
        <v>184153.01458621916</v>
      </c>
      <c r="AB78" s="86">
        <f>$B$11*'Barge - Liquid'!$F$55*'Inputs &amp; Parameters'!$B$45</f>
        <v>1463.4359431952466</v>
      </c>
      <c r="AC78" s="86">
        <f>$B$11*'Barge - Liquid'!$F$55*'Inputs &amp; Parameters'!$B$45*VLOOKUP($A78,NPV!$B$3:$C$44,2,0)</f>
        <v>1078.4178423522374</v>
      </c>
      <c r="AD78" s="86">
        <f>$B$11*'Barge - Liquid'!$E$55*'Inputs &amp; Parameters'!$B$44</f>
        <v>28169.18724513644</v>
      </c>
      <c r="AE78" s="86">
        <f>$B$11*'Barge - Liquid'!$E$55*'Inputs &amp; Parameters'!$B$44*VLOOKUP($A78,NPV!$B$3:$C$44,2,0)</f>
        <v>20758.10305942667</v>
      </c>
      <c r="AF78" s="86">
        <f t="shared" si="15"/>
        <v>29632.623188331687</v>
      </c>
      <c r="AG78" s="86">
        <f t="shared" si="16"/>
        <v>21836.520901778909</v>
      </c>
      <c r="AI78" s="16">
        <f t="shared" si="5"/>
        <v>3455647.2108145207</v>
      </c>
      <c r="AJ78" s="16">
        <f t="shared" si="6"/>
        <v>2565225.2940768506</v>
      </c>
    </row>
    <row r="79" spans="1:36" x14ac:dyDescent="0.25">
      <c r="A79" s="5">
        <f t="shared" si="7"/>
        <v>2033</v>
      </c>
      <c r="B79" s="10">
        <f t="shared" si="4"/>
        <v>259.66954545454547</v>
      </c>
      <c r="C79" s="10">
        <f>B79*'Inputs &amp; Parameters'!$C$20/60</f>
        <v>4674.0518181818188</v>
      </c>
      <c r="D79" s="10">
        <f>B79*'Inputs &amp; Parameters'!$B$20</f>
        <v>34065.750865891372</v>
      </c>
      <c r="F79" s="86">
        <f>(($B$10/$B$21)*'Inputs &amp; Parameters'!$B$7 + ('Barge - Liquid'!$B$68/'Barge - Liquid'!$B$66)*'Barge - Liquid'!$B$69)</f>
        <v>2013925.3452709387</v>
      </c>
      <c r="G79" s="86">
        <f>(($B$10/$B$21)*'Inputs &amp; Parameters'!$B$7 + ('Barge - Liquid'!$B$68/'Barge - Liquid'!$B$66)*'Barge - Liquid'!$B$69)*VLOOKUP($A79,NPV!$B$3:$C$44,2,0)</f>
        <v>1439454.8569325509</v>
      </c>
      <c r="H79" s="86">
        <f t="shared" si="8"/>
        <v>1032965.451818182</v>
      </c>
      <c r="I79" s="86">
        <f>SUM(($B$5-1)*C79*$B$7,1*C79*$B$6)*VLOOKUP($A79,NPV!$B$3:$C$44,2,0)</f>
        <v>738312.93704840459</v>
      </c>
      <c r="J79" s="86">
        <f t="shared" si="9"/>
        <v>43312.5</v>
      </c>
      <c r="K79" s="86">
        <f>$B$61*0.75*(1+$B$62)*VLOOKUP($A79,NPV!$B$3:$C$44,2,0)</f>
        <v>30957.646288772183</v>
      </c>
      <c r="L79" s="86">
        <f t="shared" si="10"/>
        <v>111329.79333125385</v>
      </c>
      <c r="M79" s="86">
        <f>(B79*($B$12*$B$8))*($B$13/365)*($B$64/24)*VLOOKUP($A79,NPV!$B$3:$C$44,2,0)</f>
        <v>79573.064666114049</v>
      </c>
      <c r="N79" s="86">
        <f t="shared" si="11"/>
        <v>3201533.0904203746</v>
      </c>
      <c r="O79" s="86">
        <f t="shared" si="12"/>
        <v>2288298.504935842</v>
      </c>
      <c r="P79" s="8"/>
      <c r="Q79" s="86">
        <f>$D79*HLOOKUP($A79,'Barge - Liquid'!$A$31:$Y$36,2,FALSE)*HLOOKUP($A79,'Barge - Liquid'!$A$37:$Y$42,2,FALSE)</f>
        <v>228270.21445823307</v>
      </c>
      <c r="R79" s="86">
        <f>$D79*HLOOKUP($A79,'Barge - Liquid'!$A$31:$Y$36,2,FALSE)*HLOOKUP($A79,'Barge - Liquid'!$A$37:$Y$42,2,FALSE)*VLOOKUP($A79,NPV!$B$3:$D$44,3,0)</f>
        <v>183589.29641465552</v>
      </c>
      <c r="S79" s="86">
        <f>$D79*HLOOKUP($A79,'Barge - Liquid'!$A$31:$Y$36,3,FALSE)*HLOOKUP($A79,'Barge - Liquid'!$A$37:$Y$42,3,FALSE)</f>
        <v>0</v>
      </c>
      <c r="T79" s="86">
        <f>$D79*HLOOKUP($A79,'Barge - Liquid'!$A$31:$Y$36,3,FALSE)*HLOOKUP($A79,'Barge - Liquid'!$A$37:$Y$42,3,FALSE)*VLOOKUP($A79,NPV!$B$3:$C$44,2,0)</f>
        <v>0</v>
      </c>
      <c r="U79" s="86">
        <f>$D79*HLOOKUP($A79,'Barge - Liquid'!$A$31:$Y$36,4,FALSE)*HLOOKUP($A79,'Barge - Liquid'!$A$37:$Y$42,4,FALSE)</f>
        <v>0</v>
      </c>
      <c r="V79" s="86">
        <f>$D79*HLOOKUP($A79,'Barge - Liquid'!$A$31:$Y$36,4,FALSE)*HLOOKUP($A79,'Barge - Liquid'!$A$37:$Y$42,4,FALSE)*VLOOKUP($A79,NPV!$B$3:$C$44,2,0)</f>
        <v>0</v>
      </c>
      <c r="W79" s="86">
        <f>$D79*HLOOKUP($A79,'Barge - Liquid'!$A$31:$Y$36,5,FALSE)*HLOOKUP($A79,'Barge - Liquid'!$A$37:$Y$42,5,FALSE)</f>
        <v>0</v>
      </c>
      <c r="X79" s="86">
        <f>$D79*HLOOKUP($A79,'Barge - Liquid'!$A$31:$Y$36,5,FALSE)*HLOOKUP($A79,'Barge - Liquid'!$A$37:$Y$42,5,FALSE)*VLOOKUP($A79,NPV!$B$3:$C$44,2,0)</f>
        <v>0</v>
      </c>
      <c r="Y79" s="86">
        <f t="shared" si="13"/>
        <v>228270.21445823307</v>
      </c>
      <c r="Z79" s="86">
        <f t="shared" si="14"/>
        <v>183589.29641465552</v>
      </c>
      <c r="AB79" s="86">
        <f>$B$11*'Barge - Liquid'!$F$55*'Inputs &amp; Parameters'!$B$45</f>
        <v>1463.4359431952466</v>
      </c>
      <c r="AC79" s="86">
        <f>$B$11*'Barge - Liquid'!$F$55*'Inputs &amp; Parameters'!$B$45*VLOOKUP($A79,NPV!$B$3:$C$44,2,0)</f>
        <v>1045.9920876355359</v>
      </c>
      <c r="AD79" s="86">
        <f>$B$11*'Barge - Liquid'!$E$55*'Inputs &amp; Parameters'!$B$44</f>
        <v>28169.18724513644</v>
      </c>
      <c r="AE79" s="86">
        <f>$B$11*'Barge - Liquid'!$E$55*'Inputs &amp; Parameters'!$B$44*VLOOKUP($A79,NPV!$B$3:$C$44,2,0)</f>
        <v>20133.950591102493</v>
      </c>
      <c r="AF79" s="86">
        <f t="shared" si="15"/>
        <v>29632.623188331687</v>
      </c>
      <c r="AG79" s="86">
        <f t="shared" si="16"/>
        <v>21179.942678738029</v>
      </c>
      <c r="AI79" s="16">
        <f t="shared" si="5"/>
        <v>3459435.9280669396</v>
      </c>
      <c r="AJ79" s="16">
        <f t="shared" si="6"/>
        <v>2493067.7440292356</v>
      </c>
    </row>
    <row r="80" spans="1:36" x14ac:dyDescent="0.25">
      <c r="A80" s="5">
        <f t="shared" si="7"/>
        <v>2034</v>
      </c>
      <c r="B80" s="10">
        <f t="shared" si="4"/>
        <v>259.66954545454547</v>
      </c>
      <c r="C80" s="10">
        <f>B80*'Inputs &amp; Parameters'!$C$20/60</f>
        <v>4674.0518181818188</v>
      </c>
      <c r="D80" s="10">
        <f>B80*'Inputs &amp; Parameters'!$B$20</f>
        <v>34065.750865891372</v>
      </c>
      <c r="F80" s="86">
        <f>(($B$10/$B$21)*'Inputs &amp; Parameters'!$B$7 + ('Barge - Liquid'!$B$68/'Barge - Liquid'!$B$66)*'Barge - Liquid'!$B$69)</f>
        <v>2013925.3452709387</v>
      </c>
      <c r="G80" s="86">
        <f>(($B$10/$B$21)*'Inputs &amp; Parameters'!$B$7 + ('Barge - Liquid'!$B$68/'Barge - Liquid'!$B$66)*'Barge - Liquid'!$B$69)*VLOOKUP($A80,NPV!$B$3:$C$44,2,0)</f>
        <v>1396173.4790810386</v>
      </c>
      <c r="H80" s="86">
        <f t="shared" si="8"/>
        <v>1032965.451818182</v>
      </c>
      <c r="I80" s="86">
        <f>SUM(($B$5-1)*C80*$B$7,1*C80*$B$6)*VLOOKUP($A80,NPV!$B$3:$C$44,2,0)</f>
        <v>716113.42099748261</v>
      </c>
      <c r="J80" s="86">
        <f t="shared" si="9"/>
        <v>43312.5</v>
      </c>
      <c r="K80" s="86">
        <f>$B$61*0.75*(1+$B$62)*VLOOKUP($A80,NPV!$B$3:$C$44,2,0)</f>
        <v>30026.815023057403</v>
      </c>
      <c r="L80" s="86">
        <f t="shared" si="10"/>
        <v>111329.79333125385</v>
      </c>
      <c r="M80" s="86">
        <f>(B80*($B$12*$B$8))*($B$13/365)*($B$64/24)*VLOOKUP($A80,NPV!$B$3:$C$44,2,0)</f>
        <v>77180.470093224096</v>
      </c>
      <c r="N80" s="86">
        <f t="shared" si="11"/>
        <v>3201533.0904203746</v>
      </c>
      <c r="O80" s="86">
        <f t="shared" si="12"/>
        <v>2219494.1851948029</v>
      </c>
      <c r="P80" s="8"/>
      <c r="Q80" s="86">
        <f>$D80*HLOOKUP($A80,'Barge - Liquid'!$A$31:$Y$36,2,FALSE)*HLOOKUP($A80,'Barge - Liquid'!$A$37:$Y$42,2,FALSE)</f>
        <v>232058.93171065184</v>
      </c>
      <c r="R80" s="86">
        <f>$D80*HLOOKUP($A80,'Barge - Liquid'!$A$31:$Y$36,2,FALSE)*HLOOKUP($A80,'Barge - Liquid'!$A$37:$Y$42,2,FALSE)*VLOOKUP($A80,NPV!$B$3:$D$44,3,0)</f>
        <v>182976.88398661863</v>
      </c>
      <c r="S80" s="86">
        <f>$D80*HLOOKUP($A80,'Barge - Liquid'!$A$31:$Y$36,3,FALSE)*HLOOKUP($A80,'Barge - Liquid'!$A$37:$Y$42,3,FALSE)</f>
        <v>0</v>
      </c>
      <c r="T80" s="86">
        <f>$D80*HLOOKUP($A80,'Barge - Liquid'!$A$31:$Y$36,3,FALSE)*HLOOKUP($A80,'Barge - Liquid'!$A$37:$Y$42,3,FALSE)*VLOOKUP($A80,NPV!$B$3:$C$44,2,0)</f>
        <v>0</v>
      </c>
      <c r="U80" s="86">
        <f>$D80*HLOOKUP($A80,'Barge - Liquid'!$A$31:$Y$36,4,FALSE)*HLOOKUP($A80,'Barge - Liquid'!$A$37:$Y$42,4,FALSE)</f>
        <v>0</v>
      </c>
      <c r="V80" s="86">
        <f>$D80*HLOOKUP($A80,'Barge - Liquid'!$A$31:$Y$36,4,FALSE)*HLOOKUP($A80,'Barge - Liquid'!$A$37:$Y$42,4,FALSE)*VLOOKUP($A80,NPV!$B$3:$C$44,2,0)</f>
        <v>0</v>
      </c>
      <c r="W80" s="86">
        <f>$D80*HLOOKUP($A80,'Barge - Liquid'!$A$31:$Y$36,5,FALSE)*HLOOKUP($A80,'Barge - Liquid'!$A$37:$Y$42,5,FALSE)</f>
        <v>0</v>
      </c>
      <c r="X80" s="86">
        <f>$D80*HLOOKUP($A80,'Barge - Liquid'!$A$31:$Y$36,5,FALSE)*HLOOKUP($A80,'Barge - Liquid'!$A$37:$Y$42,5,FALSE)*VLOOKUP($A80,NPV!$B$3:$C$44,2,0)</f>
        <v>0</v>
      </c>
      <c r="Y80" s="86">
        <f t="shared" si="13"/>
        <v>232058.93171065184</v>
      </c>
      <c r="Z80" s="86">
        <f t="shared" si="14"/>
        <v>182976.88398661863</v>
      </c>
      <c r="AB80" s="86">
        <f>$B$11*'Barge - Liquid'!$F$55*'Inputs &amp; Parameters'!$B$45</f>
        <v>1463.4359431952466</v>
      </c>
      <c r="AC80" s="86">
        <f>$B$11*'Barge - Liquid'!$F$55*'Inputs &amp; Parameters'!$B$45*VLOOKUP($A80,NPV!$B$3:$C$44,2,0)</f>
        <v>1014.5413071149717</v>
      </c>
      <c r="AD80" s="86">
        <f>$B$11*'Barge - Liquid'!$E$55*'Inputs &amp; Parameters'!$B$44</f>
        <v>28169.18724513644</v>
      </c>
      <c r="AE80" s="86">
        <f>$B$11*'Barge - Liquid'!$E$55*'Inputs &amp; Parameters'!$B$44*VLOOKUP($A80,NPV!$B$3:$C$44,2,0)</f>
        <v>19528.56507381425</v>
      </c>
      <c r="AF80" s="86">
        <f t="shared" si="15"/>
        <v>29632.623188331687</v>
      </c>
      <c r="AG80" s="86">
        <f t="shared" si="16"/>
        <v>20543.106380929221</v>
      </c>
      <c r="AI80" s="16">
        <f t="shared" si="5"/>
        <v>3463224.6453193584</v>
      </c>
      <c r="AJ80" s="16">
        <f t="shared" si="6"/>
        <v>2423014.175562351</v>
      </c>
    </row>
    <row r="81" spans="1:36" x14ac:dyDescent="0.25">
      <c r="A81" s="5">
        <f t="shared" si="7"/>
        <v>2035</v>
      </c>
      <c r="B81" s="10">
        <f t="shared" si="4"/>
        <v>259.66954545454547</v>
      </c>
      <c r="C81" s="10">
        <f>B81*'Inputs &amp; Parameters'!$C$20/60</f>
        <v>4674.0518181818188</v>
      </c>
      <c r="D81" s="10">
        <f>B81*'Inputs &amp; Parameters'!$B$20</f>
        <v>34065.750865891372</v>
      </c>
      <c r="F81" s="86">
        <f>(($B$10/$B$21)*'Inputs &amp; Parameters'!$B$7 + ('Barge - Liquid'!$B$68/'Barge - Liquid'!$B$66)*'Barge - Liquid'!$B$69)</f>
        <v>2013925.3452709387</v>
      </c>
      <c r="G81" s="86">
        <f>(($B$10/$B$21)*'Inputs &amp; Parameters'!$B$7 + ('Barge - Liquid'!$B$68/'Barge - Liquid'!$B$66)*'Barge - Liquid'!$B$69)*VLOOKUP($A81,NPV!$B$3:$C$44,2,0)</f>
        <v>1354193.481164926</v>
      </c>
      <c r="H81" s="86">
        <f t="shared" si="8"/>
        <v>1032965.451818182</v>
      </c>
      <c r="I81" s="86">
        <f>SUM(($B$5-1)*C81*$B$7,1*C81*$B$6)*VLOOKUP($A81,NPV!$B$3:$C$44,2,0)</f>
        <v>694581.39766972128</v>
      </c>
      <c r="J81" s="86">
        <f t="shared" si="9"/>
        <v>43312.5</v>
      </c>
      <c r="K81" s="86">
        <f>$B$61*0.75*(1+$B$62)*VLOOKUP($A81,NPV!$B$3:$C$44,2,0)</f>
        <v>29123.971894333077</v>
      </c>
      <c r="L81" s="86">
        <f t="shared" si="10"/>
        <v>111329.79333125385</v>
      </c>
      <c r="M81" s="86">
        <f>(B81*($B$12*$B$8))*($B$13/365)*($B$64/24)*VLOOKUP($A81,NPV!$B$3:$C$44,2,0)</f>
        <v>74859.815803321151</v>
      </c>
      <c r="N81" s="86">
        <f t="shared" si="11"/>
        <v>3201533.0904203746</v>
      </c>
      <c r="O81" s="86">
        <f t="shared" si="12"/>
        <v>2152758.6665323013</v>
      </c>
      <c r="P81" s="8"/>
      <c r="Q81" s="86">
        <f>$D81*HLOOKUP($A81,'Barge - Liquid'!$A$31:$Y$36,2,FALSE)*HLOOKUP($A81,'Barge - Liquid'!$A$37:$Y$42,2,FALSE)</f>
        <v>234900.46964996596</v>
      </c>
      <c r="R81" s="86">
        <f>$D81*HLOOKUP($A81,'Barge - Liquid'!$A$31:$Y$36,2,FALSE)*HLOOKUP($A81,'Barge - Liquid'!$A$37:$Y$42,2,FALSE)*VLOOKUP($A81,NPV!$B$3:$D$44,3,0)</f>
        <v>181585.70319600409</v>
      </c>
      <c r="S81" s="86">
        <f>$D81*HLOOKUP($A81,'Barge - Liquid'!$A$31:$Y$36,3,FALSE)*HLOOKUP($A81,'Barge - Liquid'!$A$37:$Y$42,3,FALSE)</f>
        <v>0</v>
      </c>
      <c r="T81" s="86">
        <f>$D81*HLOOKUP($A81,'Barge - Liquid'!$A$31:$Y$36,3,FALSE)*HLOOKUP($A81,'Barge - Liquid'!$A$37:$Y$42,3,FALSE)*VLOOKUP($A81,NPV!$B$3:$C$44,2,0)</f>
        <v>0</v>
      </c>
      <c r="U81" s="86">
        <f>$D81*HLOOKUP($A81,'Barge - Liquid'!$A$31:$Y$36,4,FALSE)*HLOOKUP($A81,'Barge - Liquid'!$A$37:$Y$42,4,FALSE)</f>
        <v>0</v>
      </c>
      <c r="V81" s="86">
        <f>$D81*HLOOKUP($A81,'Barge - Liquid'!$A$31:$Y$36,4,FALSE)*HLOOKUP($A81,'Barge - Liquid'!$A$37:$Y$42,4,FALSE)*VLOOKUP($A81,NPV!$B$3:$C$44,2,0)</f>
        <v>0</v>
      </c>
      <c r="W81" s="86">
        <f>$D81*HLOOKUP($A81,'Barge - Liquid'!$A$31:$Y$36,5,FALSE)*HLOOKUP($A81,'Barge - Liquid'!$A$37:$Y$42,5,FALSE)</f>
        <v>0</v>
      </c>
      <c r="X81" s="86">
        <f>$D81*HLOOKUP($A81,'Barge - Liquid'!$A$31:$Y$36,5,FALSE)*HLOOKUP($A81,'Barge - Liquid'!$A$37:$Y$42,5,FALSE)*VLOOKUP($A81,NPV!$B$3:$C$44,2,0)</f>
        <v>0</v>
      </c>
      <c r="Y81" s="86">
        <f t="shared" si="13"/>
        <v>234900.46964996596</v>
      </c>
      <c r="Z81" s="86">
        <f t="shared" si="14"/>
        <v>181585.70319600409</v>
      </c>
      <c r="AB81" s="86">
        <f>$B$11*'Barge - Liquid'!$F$55*'Inputs &amp; Parameters'!$B$45</f>
        <v>1463.4359431952466</v>
      </c>
      <c r="AC81" s="86">
        <f>$B$11*'Barge - Liquid'!$F$55*'Inputs &amp; Parameters'!$B$45*VLOOKUP($A81,NPV!$B$3:$C$44,2,0)</f>
        <v>984.03618536854674</v>
      </c>
      <c r="AD81" s="86">
        <f>$B$11*'Barge - Liquid'!$E$55*'Inputs &amp; Parameters'!$B$44</f>
        <v>28169.18724513644</v>
      </c>
      <c r="AE81" s="86">
        <f>$B$11*'Barge - Liquid'!$E$55*'Inputs &amp; Parameters'!$B$44*VLOOKUP($A81,NPV!$B$3:$C$44,2,0)</f>
        <v>18941.382224844085</v>
      </c>
      <c r="AF81" s="86">
        <f t="shared" si="15"/>
        <v>29632.623188331687</v>
      </c>
      <c r="AG81" s="86">
        <f t="shared" si="16"/>
        <v>19925.418410212631</v>
      </c>
      <c r="AI81" s="16">
        <f t="shared" si="5"/>
        <v>3466066.1832586722</v>
      </c>
      <c r="AJ81" s="16">
        <f t="shared" si="6"/>
        <v>2354269.7881385181</v>
      </c>
    </row>
    <row r="82" spans="1:36" x14ac:dyDescent="0.25">
      <c r="A82" s="5">
        <f t="shared" si="7"/>
        <v>2036</v>
      </c>
      <c r="B82" s="10">
        <f t="shared" si="4"/>
        <v>259.66954545454547</v>
      </c>
      <c r="C82" s="10">
        <f>B82*'Inputs &amp; Parameters'!$C$20/60</f>
        <v>4674.0518181818188</v>
      </c>
      <c r="D82" s="10">
        <f>B82*'Inputs &amp; Parameters'!$B$20</f>
        <v>34065.750865891372</v>
      </c>
      <c r="F82" s="86">
        <f>(($B$10/$B$21)*'Inputs &amp; Parameters'!$B$7 + ('Barge - Liquid'!$B$68/'Barge - Liquid'!$B$66)*'Barge - Liquid'!$B$69)</f>
        <v>2013925.3452709387</v>
      </c>
      <c r="G82" s="86">
        <f>(($B$10/$B$21)*'Inputs &amp; Parameters'!$B$7 + ('Barge - Liquid'!$B$68/'Barge - Liquid'!$B$66)*'Barge - Liquid'!$B$69)*VLOOKUP($A82,NPV!$B$3:$C$44,2,0)</f>
        <v>1313475.7334286384</v>
      </c>
      <c r="H82" s="86">
        <f t="shared" si="8"/>
        <v>1032965.451818182</v>
      </c>
      <c r="I82" s="86">
        <f>SUM(($B$5-1)*C82*$B$7,1*C82*$B$6)*VLOOKUP($A82,NPV!$B$3:$C$44,2,0)</f>
        <v>673696.79696384224</v>
      </c>
      <c r="J82" s="86">
        <f t="shared" si="9"/>
        <v>43312.5</v>
      </c>
      <c r="K82" s="86">
        <f>$B$61*0.75*(1+$B$62)*VLOOKUP($A82,NPV!$B$3:$C$44,2,0)</f>
        <v>28248.275358228013</v>
      </c>
      <c r="L82" s="86">
        <f t="shared" si="10"/>
        <v>111329.79333125385</v>
      </c>
      <c r="M82" s="86">
        <f>(B82*($B$12*$B$8))*($B$13/365)*($B$64/24)*VLOOKUP($A82,NPV!$B$3:$C$44,2,0)</f>
        <v>72608.938703512278</v>
      </c>
      <c r="N82" s="86">
        <f t="shared" si="11"/>
        <v>3201533.0904203746</v>
      </c>
      <c r="O82" s="86">
        <f t="shared" si="12"/>
        <v>2088029.7444542209</v>
      </c>
      <c r="P82" s="8"/>
      <c r="Q82" s="86">
        <f>$D82*HLOOKUP($A82,'Barge - Liquid'!$A$31:$Y$36,2,FALSE)*HLOOKUP($A82,'Barge - Liquid'!$A$37:$Y$42,2,FALSE)</f>
        <v>238689.18690238474</v>
      </c>
      <c r="R82" s="86">
        <f>$D82*HLOOKUP($A82,'Barge - Liquid'!$A$31:$Y$36,2,FALSE)*HLOOKUP($A82,'Barge - Liquid'!$A$37:$Y$42,2,FALSE)*VLOOKUP($A82,NPV!$B$3:$D$44,3,0)</f>
        <v>180896.57339260366</v>
      </c>
      <c r="S82" s="86">
        <f>$D82*HLOOKUP($A82,'Barge - Liquid'!$A$31:$Y$36,3,FALSE)*HLOOKUP($A82,'Barge - Liquid'!$A$37:$Y$42,3,FALSE)</f>
        <v>0</v>
      </c>
      <c r="T82" s="86">
        <f>$D82*HLOOKUP($A82,'Barge - Liquid'!$A$31:$Y$36,3,FALSE)*HLOOKUP($A82,'Barge - Liquid'!$A$37:$Y$42,3,FALSE)*VLOOKUP($A82,NPV!$B$3:$C$44,2,0)</f>
        <v>0</v>
      </c>
      <c r="U82" s="86">
        <f>$D82*HLOOKUP($A82,'Barge - Liquid'!$A$31:$Y$36,4,FALSE)*HLOOKUP($A82,'Barge - Liquid'!$A$37:$Y$42,4,FALSE)</f>
        <v>0</v>
      </c>
      <c r="V82" s="86">
        <f>$D82*HLOOKUP($A82,'Barge - Liquid'!$A$31:$Y$36,4,FALSE)*HLOOKUP($A82,'Barge - Liquid'!$A$37:$Y$42,4,FALSE)*VLOOKUP($A82,NPV!$B$3:$C$44,2,0)</f>
        <v>0</v>
      </c>
      <c r="W82" s="86">
        <f>$D82*HLOOKUP($A82,'Barge - Liquid'!$A$31:$Y$36,5,FALSE)*HLOOKUP($A82,'Barge - Liquid'!$A$37:$Y$42,5,FALSE)</f>
        <v>0</v>
      </c>
      <c r="X82" s="86">
        <f>$D82*HLOOKUP($A82,'Barge - Liquid'!$A$31:$Y$36,5,FALSE)*HLOOKUP($A82,'Barge - Liquid'!$A$37:$Y$42,5,FALSE)*VLOOKUP($A82,NPV!$B$3:$C$44,2,0)</f>
        <v>0</v>
      </c>
      <c r="Y82" s="86">
        <f t="shared" si="13"/>
        <v>238689.18690238474</v>
      </c>
      <c r="Z82" s="86">
        <f t="shared" si="14"/>
        <v>180896.57339260366</v>
      </c>
      <c r="AB82" s="86">
        <f>$B$11*'Barge - Liquid'!$F$55*'Inputs &amp; Parameters'!$B$45</f>
        <v>1463.4359431952466</v>
      </c>
      <c r="AC82" s="86">
        <f>$B$11*'Barge - Liquid'!$F$55*'Inputs &amp; Parameters'!$B$45*VLOOKUP($A82,NPV!$B$3:$C$44,2,0)</f>
        <v>954.44828842730055</v>
      </c>
      <c r="AD82" s="86">
        <f>$B$11*'Barge - Liquid'!$E$55*'Inputs &amp; Parameters'!$B$44</f>
        <v>28169.18724513644</v>
      </c>
      <c r="AE82" s="86">
        <f>$B$11*'Barge - Liquid'!$E$55*'Inputs &amp; Parameters'!$B$44*VLOOKUP($A82,NPV!$B$3:$C$44,2,0)</f>
        <v>18371.854728267786</v>
      </c>
      <c r="AF82" s="86">
        <f t="shared" si="15"/>
        <v>29632.623188331687</v>
      </c>
      <c r="AG82" s="86">
        <f t="shared" si="16"/>
        <v>19326.303016695088</v>
      </c>
      <c r="AI82" s="16">
        <f t="shared" si="5"/>
        <v>3469854.9005110911</v>
      </c>
      <c r="AJ82" s="16">
        <f t="shared" si="6"/>
        <v>2288252.6208635196</v>
      </c>
    </row>
    <row r="83" spans="1:36" x14ac:dyDescent="0.25">
      <c r="A83" s="5">
        <f t="shared" si="7"/>
        <v>2037</v>
      </c>
      <c r="B83" s="10">
        <f t="shared" si="4"/>
        <v>259.66954545454547</v>
      </c>
      <c r="C83" s="10">
        <f>B83*'Inputs &amp; Parameters'!$C$20/60</f>
        <v>4674.0518181818188</v>
      </c>
      <c r="D83" s="10">
        <f>B83*'Inputs &amp; Parameters'!$B$20</f>
        <v>34065.750865891372</v>
      </c>
      <c r="F83" s="86">
        <f>(($B$10/$B$21)*'Inputs &amp; Parameters'!$B$7 + ('Barge - Liquid'!$B$68/'Barge - Liquid'!$B$66)*'Barge - Liquid'!$B$69)</f>
        <v>2013925.3452709387</v>
      </c>
      <c r="G83" s="86">
        <f>(($B$10/$B$21)*'Inputs &amp; Parameters'!$B$7 + ('Barge - Liquid'!$B$68/'Barge - Liquid'!$B$66)*'Barge - Liquid'!$B$69)*VLOOKUP($A83,NPV!$B$3:$C$44,2,0)</f>
        <v>1273982.2826659929</v>
      </c>
      <c r="H83" s="86">
        <f t="shared" si="8"/>
        <v>1032965.451818182</v>
      </c>
      <c r="I83" s="86">
        <f>SUM(($B$5-1)*C83*$B$7,1*C83*$B$6)*VLOOKUP($A83,NPV!$B$3:$C$44,2,0)</f>
        <v>653440.15224426996</v>
      </c>
      <c r="J83" s="86">
        <f t="shared" si="9"/>
        <v>43312.5</v>
      </c>
      <c r="K83" s="86">
        <f>$B$61*0.75*(1+$B$62)*VLOOKUP($A83,NPV!$B$3:$C$44,2,0)</f>
        <v>27398.909173839009</v>
      </c>
      <c r="L83" s="86">
        <f t="shared" si="10"/>
        <v>111329.79333125385</v>
      </c>
      <c r="M83" s="86">
        <f>(B83*($B$12*$B$8))*($B$13/365)*($B$64/24)*VLOOKUP($A83,NPV!$B$3:$C$44,2,0)</f>
        <v>70425.740740555077</v>
      </c>
      <c r="N83" s="86">
        <f t="shared" si="11"/>
        <v>3201533.0904203746</v>
      </c>
      <c r="O83" s="86">
        <f t="shared" si="12"/>
        <v>2025247.0848246571</v>
      </c>
      <c r="P83" s="8"/>
      <c r="Q83" s="86">
        <f>$D83*HLOOKUP($A83,'Barge - Liquid'!$A$31:$Y$36,2,FALSE)*HLOOKUP($A83,'Barge - Liquid'!$A$37:$Y$42,2,FALSE)</f>
        <v>242477.90415480357</v>
      </c>
      <c r="R83" s="86">
        <f>$D83*HLOOKUP($A83,'Barge - Liquid'!$A$31:$Y$36,2,FALSE)*HLOOKUP($A83,'Barge - Liquid'!$A$37:$Y$42,2,FALSE)*VLOOKUP($A83,NPV!$B$3:$D$44,3,0)</f>
        <v>180164.65448376344</v>
      </c>
      <c r="S83" s="86">
        <f>$D83*HLOOKUP($A83,'Barge - Liquid'!$A$31:$Y$36,3,FALSE)*HLOOKUP($A83,'Barge - Liquid'!$A$37:$Y$42,3,FALSE)</f>
        <v>0</v>
      </c>
      <c r="T83" s="86">
        <f>$D83*HLOOKUP($A83,'Barge - Liquid'!$A$31:$Y$36,3,FALSE)*HLOOKUP($A83,'Barge - Liquid'!$A$37:$Y$42,3,FALSE)*VLOOKUP($A83,NPV!$B$3:$C$44,2,0)</f>
        <v>0</v>
      </c>
      <c r="U83" s="86">
        <f>$D83*HLOOKUP($A83,'Barge - Liquid'!$A$31:$Y$36,4,FALSE)*HLOOKUP($A83,'Barge - Liquid'!$A$37:$Y$42,4,FALSE)</f>
        <v>0</v>
      </c>
      <c r="V83" s="86">
        <f>$D83*HLOOKUP($A83,'Barge - Liquid'!$A$31:$Y$36,4,FALSE)*HLOOKUP($A83,'Barge - Liquid'!$A$37:$Y$42,4,FALSE)*VLOOKUP($A83,NPV!$B$3:$C$44,2,0)</f>
        <v>0</v>
      </c>
      <c r="W83" s="86">
        <f>$D83*HLOOKUP($A83,'Barge - Liquid'!$A$31:$Y$36,5,FALSE)*HLOOKUP($A83,'Barge - Liquid'!$A$37:$Y$42,5,FALSE)</f>
        <v>0</v>
      </c>
      <c r="X83" s="86">
        <f>$D83*HLOOKUP($A83,'Barge - Liquid'!$A$31:$Y$36,5,FALSE)*HLOOKUP($A83,'Barge - Liquid'!$A$37:$Y$42,5,FALSE)*VLOOKUP($A83,NPV!$B$3:$C$44,2,0)</f>
        <v>0</v>
      </c>
      <c r="Y83" s="86">
        <f t="shared" si="13"/>
        <v>242477.90415480357</v>
      </c>
      <c r="Z83" s="86">
        <f t="shared" si="14"/>
        <v>180164.65448376344</v>
      </c>
      <c r="AB83" s="86">
        <f>$B$11*'Barge - Liquid'!$F$55*'Inputs &amp; Parameters'!$B$45</f>
        <v>1463.4359431952466</v>
      </c>
      <c r="AC83" s="86">
        <f>$B$11*'Barge - Liquid'!$F$55*'Inputs &amp; Parameters'!$B$45*VLOOKUP($A83,NPV!$B$3:$C$44,2,0)</f>
        <v>925.75003727187266</v>
      </c>
      <c r="AD83" s="86">
        <f>$B$11*'Barge - Liquid'!$E$55*'Inputs &amp; Parameters'!$B$44</f>
        <v>28169.18724513644</v>
      </c>
      <c r="AE83" s="86">
        <f>$B$11*'Barge - Liquid'!$E$55*'Inputs &amp; Parameters'!$B$44*VLOOKUP($A83,NPV!$B$3:$C$44,2,0)</f>
        <v>17819.451724799019</v>
      </c>
      <c r="AF83" s="86">
        <f t="shared" si="15"/>
        <v>29632.623188331687</v>
      </c>
      <c r="AG83" s="86">
        <f t="shared" si="16"/>
        <v>18745.20176207089</v>
      </c>
      <c r="AI83" s="16">
        <f t="shared" si="5"/>
        <v>3473643.61776351</v>
      </c>
      <c r="AJ83" s="16">
        <f t="shared" si="6"/>
        <v>2224156.9410704914</v>
      </c>
    </row>
    <row r="84" spans="1:36" x14ac:dyDescent="0.25">
      <c r="A84" s="5">
        <f t="shared" si="7"/>
        <v>2038</v>
      </c>
      <c r="B84" s="10">
        <f t="shared" si="4"/>
        <v>259.66954545454547</v>
      </c>
      <c r="C84" s="10">
        <f>B84*'Inputs &amp; Parameters'!$C$20/60</f>
        <v>4674.0518181818188</v>
      </c>
      <c r="D84" s="10">
        <f>B84*'Inputs &amp; Parameters'!$B$20</f>
        <v>34065.750865891372</v>
      </c>
      <c r="F84" s="86">
        <f>(($B$10/$B$21)*'Inputs &amp; Parameters'!$B$7 + ('Barge - Liquid'!$B$68/'Barge - Liquid'!$B$66)*'Barge - Liquid'!$B$69)</f>
        <v>2013925.3452709387</v>
      </c>
      <c r="G84" s="86">
        <f>(($B$10/$B$21)*'Inputs &amp; Parameters'!$B$7 + ('Barge - Liquid'!$B$68/'Barge - Liquid'!$B$66)*'Barge - Liquid'!$B$69)*VLOOKUP($A84,NPV!$B$3:$C$44,2,0)</f>
        <v>1235676.3168438338</v>
      </c>
      <c r="H84" s="86">
        <f t="shared" si="8"/>
        <v>1032965.451818182</v>
      </c>
      <c r="I84" s="86">
        <f>SUM(($B$5-1)*C84*$B$7,1*C84*$B$6)*VLOOKUP($A84,NPV!$B$3:$C$44,2,0)</f>
        <v>633792.58219618804</v>
      </c>
      <c r="J84" s="86">
        <f t="shared" si="9"/>
        <v>43312.5</v>
      </c>
      <c r="K84" s="86">
        <f>$B$61*0.75*(1+$B$62)*VLOOKUP($A84,NPV!$B$3:$C$44,2,0)</f>
        <v>26575.08164290883</v>
      </c>
      <c r="L84" s="86">
        <f t="shared" si="10"/>
        <v>111329.79333125385</v>
      </c>
      <c r="M84" s="86">
        <f>(B84*($B$12*$B$8))*($B$13/365)*($B$64/24)*VLOOKUP($A84,NPV!$B$3:$C$44,2,0)</f>
        <v>68308.186945252251</v>
      </c>
      <c r="N84" s="86">
        <f t="shared" si="11"/>
        <v>3201533.0904203746</v>
      </c>
      <c r="O84" s="86">
        <f t="shared" si="12"/>
        <v>1964352.167628183</v>
      </c>
      <c r="P84" s="8"/>
      <c r="Q84" s="86">
        <f>$D84*HLOOKUP($A84,'Barge - Liquid'!$A$31:$Y$36,2,FALSE)*HLOOKUP($A84,'Barge - Liquid'!$A$37:$Y$42,2,FALSE)</f>
        <v>245319.44209411766</v>
      </c>
      <c r="R84" s="86">
        <f>$D84*HLOOKUP($A84,'Barge - Liquid'!$A$31:$Y$36,2,FALSE)*HLOOKUP($A84,'Barge - Liquid'!$A$37:$Y$42,2,FALSE)*VLOOKUP($A84,NPV!$B$3:$D$44,3,0)</f>
        <v>178701.92061617156</v>
      </c>
      <c r="S84" s="86">
        <f>$D84*HLOOKUP($A84,'Barge - Liquid'!$A$31:$Y$36,3,FALSE)*HLOOKUP($A84,'Barge - Liquid'!$A$37:$Y$42,3,FALSE)</f>
        <v>0</v>
      </c>
      <c r="T84" s="86">
        <f>$D84*HLOOKUP($A84,'Barge - Liquid'!$A$31:$Y$36,3,FALSE)*HLOOKUP($A84,'Barge - Liquid'!$A$37:$Y$42,3,FALSE)*VLOOKUP($A84,NPV!$B$3:$C$44,2,0)</f>
        <v>0</v>
      </c>
      <c r="U84" s="86">
        <f>$D84*HLOOKUP($A84,'Barge - Liquid'!$A$31:$Y$36,4,FALSE)*HLOOKUP($A84,'Barge - Liquid'!$A$37:$Y$42,4,FALSE)</f>
        <v>0</v>
      </c>
      <c r="V84" s="86">
        <f>$D84*HLOOKUP($A84,'Barge - Liquid'!$A$31:$Y$36,4,FALSE)*HLOOKUP($A84,'Barge - Liquid'!$A$37:$Y$42,4,FALSE)*VLOOKUP($A84,NPV!$B$3:$C$44,2,0)</f>
        <v>0</v>
      </c>
      <c r="W84" s="86">
        <f>$D84*HLOOKUP($A84,'Barge - Liquid'!$A$31:$Y$36,5,FALSE)*HLOOKUP($A84,'Barge - Liquid'!$A$37:$Y$42,5,FALSE)</f>
        <v>0</v>
      </c>
      <c r="X84" s="86">
        <f>$D84*HLOOKUP($A84,'Barge - Liquid'!$A$31:$Y$36,5,FALSE)*HLOOKUP($A84,'Barge - Liquid'!$A$37:$Y$42,5,FALSE)*VLOOKUP($A84,NPV!$B$3:$C$44,2,0)</f>
        <v>0</v>
      </c>
      <c r="Y84" s="86">
        <f t="shared" si="13"/>
        <v>245319.44209411766</v>
      </c>
      <c r="Z84" s="86">
        <f t="shared" si="14"/>
        <v>178701.92061617156</v>
      </c>
      <c r="AB84" s="86">
        <f>$B$11*'Barge - Liquid'!$F$55*'Inputs &amp; Parameters'!$B$45</f>
        <v>1463.4359431952466</v>
      </c>
      <c r="AC84" s="86">
        <f>$B$11*'Barge - Liquid'!$F$55*'Inputs &amp; Parameters'!$B$45*VLOOKUP($A84,NPV!$B$3:$C$44,2,0)</f>
        <v>897.91468212596749</v>
      </c>
      <c r="AD84" s="86">
        <f>$B$11*'Barge - Liquid'!$E$55*'Inputs &amp; Parameters'!$B$44</f>
        <v>28169.18724513644</v>
      </c>
      <c r="AE84" s="86">
        <f>$B$11*'Barge - Liquid'!$E$55*'Inputs &amp; Parameters'!$B$44*VLOOKUP($A84,NPV!$B$3:$C$44,2,0)</f>
        <v>17283.658316972858</v>
      </c>
      <c r="AF84" s="86">
        <f t="shared" si="15"/>
        <v>29632.623188331687</v>
      </c>
      <c r="AG84" s="86">
        <f t="shared" si="16"/>
        <v>18181.572999098826</v>
      </c>
      <c r="AI84" s="16">
        <f t="shared" si="5"/>
        <v>3476485.1557028242</v>
      </c>
      <c r="AJ84" s="16">
        <f t="shared" si="6"/>
        <v>2161235.6612434532</v>
      </c>
    </row>
    <row r="85" spans="1:36" x14ac:dyDescent="0.25">
      <c r="A85" s="5">
        <f t="shared" si="7"/>
        <v>2039</v>
      </c>
      <c r="B85" s="10">
        <f t="shared" si="4"/>
        <v>259.66954545454547</v>
      </c>
      <c r="C85" s="10">
        <f>B85*'Inputs &amp; Parameters'!$C$20/60</f>
        <v>4674.0518181818188</v>
      </c>
      <c r="D85" s="10">
        <f>B85*'Inputs &amp; Parameters'!$B$20</f>
        <v>34065.750865891372</v>
      </c>
      <c r="F85" s="86">
        <f>(($B$10/$B$21)*'Inputs &amp; Parameters'!$B$7 + ('Barge - Liquid'!$B$68/'Barge - Liquid'!$B$66)*'Barge - Liquid'!$B$69)</f>
        <v>2013925.3452709387</v>
      </c>
      <c r="G85" s="86">
        <f>(($B$10/$B$21)*'Inputs &amp; Parameters'!$B$7 + ('Barge - Liquid'!$B$68/'Barge - Liquid'!$B$66)*'Barge - Liquid'!$B$69)*VLOOKUP($A85,NPV!$B$3:$C$44,2,0)</f>
        <v>1198522.1307893635</v>
      </c>
      <c r="H85" s="86">
        <f t="shared" si="8"/>
        <v>1032965.451818182</v>
      </c>
      <c r="I85" s="86">
        <f>SUM(($B$5-1)*C85*$B$7,1*C85*$B$6)*VLOOKUP($A85,NPV!$B$3:$C$44,2,0)</f>
        <v>614735.7732261765</v>
      </c>
      <c r="J85" s="86">
        <f t="shared" si="9"/>
        <v>43312.5</v>
      </c>
      <c r="K85" s="86">
        <f>$B$61*0.75*(1+$B$62)*VLOOKUP($A85,NPV!$B$3:$C$44,2,0)</f>
        <v>25776.024871880534</v>
      </c>
      <c r="L85" s="86">
        <f t="shared" si="10"/>
        <v>111329.79333125385</v>
      </c>
      <c r="M85" s="86">
        <f>(B85*($B$12*$B$8))*($B$13/365)*($B$64/24)*VLOOKUP($A85,NPV!$B$3:$C$44,2,0)</f>
        <v>66254.303535647181</v>
      </c>
      <c r="N85" s="86">
        <f t="shared" si="11"/>
        <v>3201533.0904203746</v>
      </c>
      <c r="O85" s="86">
        <f t="shared" si="12"/>
        <v>1905288.2324230678</v>
      </c>
      <c r="P85" s="8"/>
      <c r="Q85" s="86">
        <f>$D85*HLOOKUP($A85,'Barge - Liquid'!$A$31:$Y$36,2,FALSE)*HLOOKUP($A85,'Barge - Liquid'!$A$37:$Y$42,2,FALSE)</f>
        <v>249108.15934653647</v>
      </c>
      <c r="R85" s="86">
        <f>$D85*HLOOKUP($A85,'Barge - Liquid'!$A$31:$Y$36,2,FALSE)*HLOOKUP($A85,'Barge - Liquid'!$A$37:$Y$42,2,FALSE)*VLOOKUP($A85,NPV!$B$3:$D$44,3,0)</f>
        <v>177903.72140984601</v>
      </c>
      <c r="S85" s="86">
        <f>$D85*HLOOKUP($A85,'Barge - Liquid'!$A$31:$Y$36,3,FALSE)*HLOOKUP($A85,'Barge - Liquid'!$A$37:$Y$42,3,FALSE)</f>
        <v>0</v>
      </c>
      <c r="T85" s="86">
        <f>$D85*HLOOKUP($A85,'Barge - Liquid'!$A$31:$Y$36,3,FALSE)*HLOOKUP($A85,'Barge - Liquid'!$A$37:$Y$42,3,FALSE)*VLOOKUP($A85,NPV!$B$3:$C$44,2,0)</f>
        <v>0</v>
      </c>
      <c r="U85" s="86">
        <f>$D85*HLOOKUP($A85,'Barge - Liquid'!$A$31:$Y$36,4,FALSE)*HLOOKUP($A85,'Barge - Liquid'!$A$37:$Y$42,4,FALSE)</f>
        <v>0</v>
      </c>
      <c r="V85" s="86">
        <f>$D85*HLOOKUP($A85,'Barge - Liquid'!$A$31:$Y$36,4,FALSE)*HLOOKUP($A85,'Barge - Liquid'!$A$37:$Y$42,4,FALSE)*VLOOKUP($A85,NPV!$B$3:$C$44,2,0)</f>
        <v>0</v>
      </c>
      <c r="W85" s="86">
        <f>$D85*HLOOKUP($A85,'Barge - Liquid'!$A$31:$Y$36,5,FALSE)*HLOOKUP($A85,'Barge - Liquid'!$A$37:$Y$42,5,FALSE)</f>
        <v>0</v>
      </c>
      <c r="X85" s="86">
        <f>$D85*HLOOKUP($A85,'Barge - Liquid'!$A$31:$Y$36,5,FALSE)*HLOOKUP($A85,'Barge - Liquid'!$A$37:$Y$42,5,FALSE)*VLOOKUP($A85,NPV!$B$3:$C$44,2,0)</f>
        <v>0</v>
      </c>
      <c r="Y85" s="86">
        <f t="shared" si="13"/>
        <v>249108.15934653647</v>
      </c>
      <c r="Z85" s="86">
        <f t="shared" si="14"/>
        <v>177903.72140984601</v>
      </c>
      <c r="AB85" s="86">
        <f>$B$11*'Barge - Liquid'!$F$55*'Inputs &amp; Parameters'!$B$45</f>
        <v>1463.4359431952466</v>
      </c>
      <c r="AC85" s="86">
        <f>$B$11*'Barge - Liquid'!$F$55*'Inputs &amp; Parameters'!$B$45*VLOOKUP($A85,NPV!$B$3:$C$44,2,0)</f>
        <v>870.9162775227619</v>
      </c>
      <c r="AD85" s="86">
        <f>$B$11*'Barge - Liquid'!$E$55*'Inputs &amp; Parameters'!$B$44</f>
        <v>28169.18724513644</v>
      </c>
      <c r="AE85" s="86">
        <f>$B$11*'Barge - Liquid'!$E$55*'Inputs &amp; Parameters'!$B$44*VLOOKUP($A85,NPV!$B$3:$C$44,2,0)</f>
        <v>16763.97508920743</v>
      </c>
      <c r="AF85" s="86">
        <f t="shared" si="15"/>
        <v>29632.623188331687</v>
      </c>
      <c r="AG85" s="86">
        <f t="shared" si="16"/>
        <v>17634.891366730193</v>
      </c>
      <c r="AI85" s="16">
        <f t="shared" si="5"/>
        <v>3480273.8729552426</v>
      </c>
      <c r="AJ85" s="16">
        <f t="shared" si="6"/>
        <v>2100826.8451996441</v>
      </c>
    </row>
    <row r="86" spans="1:36" x14ac:dyDescent="0.25">
      <c r="A86" s="5">
        <f t="shared" si="7"/>
        <v>2040</v>
      </c>
      <c r="B86" s="10">
        <f t="shared" si="4"/>
        <v>259.66954545454547</v>
      </c>
      <c r="C86" s="10">
        <f>B86*'Inputs &amp; Parameters'!$C$20/60</f>
        <v>4674.0518181818188</v>
      </c>
      <c r="D86" s="10">
        <f>B86*'Inputs &amp; Parameters'!$B$20</f>
        <v>34065.750865891372</v>
      </c>
      <c r="F86" s="86">
        <f>(($B$10/$B$21)*'Inputs &amp; Parameters'!$B$7 + ('Barge - Liquid'!$B$68/'Barge - Liquid'!$B$66)*'Barge - Liquid'!$B$69)</f>
        <v>2013925.3452709387</v>
      </c>
      <c r="G86" s="86">
        <f>(($B$10/$B$21)*'Inputs &amp; Parameters'!$B$7 + ('Barge - Liquid'!$B$68/'Barge - Liquid'!$B$66)*'Barge - Liquid'!$B$69)*VLOOKUP($A86,NPV!$B$3:$C$44,2,0)</f>
        <v>1162485.0929091792</v>
      </c>
      <c r="H86" s="86">
        <f t="shared" si="8"/>
        <v>1032965.451818182</v>
      </c>
      <c r="I86" s="86">
        <f>SUM(($B$5-1)*C86*$B$7,1*C86*$B$6)*VLOOKUP($A86,NPV!$B$3:$C$44,2,0)</f>
        <v>596251.96239202388</v>
      </c>
      <c r="J86" s="86">
        <f t="shared" si="9"/>
        <v>43312.5</v>
      </c>
      <c r="K86" s="86">
        <f>$B$61*0.75*(1+$B$62)*VLOOKUP($A86,NPV!$B$3:$C$44,2,0)</f>
        <v>25000.994056140193</v>
      </c>
      <c r="L86" s="86">
        <f t="shared" si="10"/>
        <v>111329.79333125385</v>
      </c>
      <c r="M86" s="86">
        <f>(B86*($B$12*$B$8))*($B$13/365)*($B$64/24)*VLOOKUP($A86,NPV!$B$3:$C$44,2,0)</f>
        <v>64262.176077252378</v>
      </c>
      <c r="N86" s="86">
        <f t="shared" si="11"/>
        <v>3201533.0904203746</v>
      </c>
      <c r="O86" s="86">
        <f t="shared" si="12"/>
        <v>1848000.2254345957</v>
      </c>
      <c r="P86" s="8"/>
      <c r="Q86" s="86">
        <f>$D86*HLOOKUP($A86,'Barge - Liquid'!$A$31:$Y$36,2,FALSE)*HLOOKUP($A86,'Barge - Liquid'!$A$37:$Y$42,2,FALSE)</f>
        <v>252896.87659895531</v>
      </c>
      <c r="R86" s="86">
        <f>$D86*HLOOKUP($A86,'Barge - Liquid'!$A$31:$Y$36,2,FALSE)*HLOOKUP($A86,'Barge - Liquid'!$A$37:$Y$42,2,FALSE)*VLOOKUP($A86,NPV!$B$3:$D$44,3,0)</f>
        <v>177068.11905028293</v>
      </c>
      <c r="S86" s="86">
        <f>$D86*HLOOKUP($A86,'Barge - Liquid'!$A$31:$Y$36,3,FALSE)*HLOOKUP($A86,'Barge - Liquid'!$A$37:$Y$42,3,FALSE)</f>
        <v>0</v>
      </c>
      <c r="T86" s="86">
        <f>$D86*HLOOKUP($A86,'Barge - Liquid'!$A$31:$Y$36,3,FALSE)*HLOOKUP($A86,'Barge - Liquid'!$A$37:$Y$42,3,FALSE)*VLOOKUP($A86,NPV!$B$3:$C$44,2,0)</f>
        <v>0</v>
      </c>
      <c r="U86" s="86">
        <f>$D86*HLOOKUP($A86,'Barge - Liquid'!$A$31:$Y$36,4,FALSE)*HLOOKUP($A86,'Barge - Liquid'!$A$37:$Y$42,4,FALSE)</f>
        <v>0</v>
      </c>
      <c r="V86" s="86">
        <f>$D86*HLOOKUP($A86,'Barge - Liquid'!$A$31:$Y$36,4,FALSE)*HLOOKUP($A86,'Barge - Liquid'!$A$37:$Y$42,4,FALSE)*VLOOKUP($A86,NPV!$B$3:$C$44,2,0)</f>
        <v>0</v>
      </c>
      <c r="W86" s="86">
        <f>$D86*HLOOKUP($A86,'Barge - Liquid'!$A$31:$Y$36,5,FALSE)*HLOOKUP($A86,'Barge - Liquid'!$A$37:$Y$42,5,FALSE)</f>
        <v>0</v>
      </c>
      <c r="X86" s="86">
        <f>$D86*HLOOKUP($A86,'Barge - Liquid'!$A$31:$Y$36,5,FALSE)*HLOOKUP($A86,'Barge - Liquid'!$A$37:$Y$42,5,FALSE)*VLOOKUP($A86,NPV!$B$3:$C$44,2,0)</f>
        <v>0</v>
      </c>
      <c r="Y86" s="86">
        <f t="shared" si="13"/>
        <v>252896.87659895531</v>
      </c>
      <c r="Z86" s="86">
        <f t="shared" si="14"/>
        <v>177068.11905028293</v>
      </c>
      <c r="AB86" s="86">
        <f>$B$11*'Barge - Liquid'!$F$55*'Inputs &amp; Parameters'!$B$45</f>
        <v>1463.4359431952466</v>
      </c>
      <c r="AC86" s="86">
        <f>$B$11*'Barge - Liquid'!$F$55*'Inputs &amp; Parameters'!$B$45*VLOOKUP($A86,NPV!$B$3:$C$44,2,0)</f>
        <v>844.72965812101074</v>
      </c>
      <c r="AD86" s="86">
        <f>$B$11*'Barge - Liquid'!$E$55*'Inputs &amp; Parameters'!$B$44</f>
        <v>28169.18724513644</v>
      </c>
      <c r="AE86" s="86">
        <f>$B$11*'Barge - Liquid'!$E$55*'Inputs &amp; Parameters'!$B$44*VLOOKUP($A86,NPV!$B$3:$C$44,2,0)</f>
        <v>16259.917642296248</v>
      </c>
      <c r="AF86" s="86">
        <f t="shared" si="15"/>
        <v>29632.623188331687</v>
      </c>
      <c r="AG86" s="86">
        <f t="shared" si="16"/>
        <v>17104.647300417259</v>
      </c>
      <c r="AI86" s="16">
        <f t="shared" si="5"/>
        <v>3484062.5902076615</v>
      </c>
      <c r="AJ86" s="16">
        <f t="shared" si="6"/>
        <v>2042172.991785296</v>
      </c>
    </row>
    <row r="87" spans="1:36" x14ac:dyDescent="0.25">
      <c r="A87" s="5">
        <f t="shared" si="7"/>
        <v>2041</v>
      </c>
      <c r="B87" s="10">
        <f t="shared" si="4"/>
        <v>259.66954545454547</v>
      </c>
      <c r="C87" s="10">
        <f>B87*'Inputs &amp; Parameters'!$C$20/60</f>
        <v>4674.0518181818188</v>
      </c>
      <c r="D87" s="10">
        <f>B87*'Inputs &amp; Parameters'!$B$20</f>
        <v>34065.750865891372</v>
      </c>
      <c r="F87" s="86">
        <f>(($B$10/$B$21)*'Inputs &amp; Parameters'!$B$7 + ('Barge - Liquid'!$B$68/'Barge - Liquid'!$B$66)*'Barge - Liquid'!$B$69)</f>
        <v>2013925.3452709387</v>
      </c>
      <c r="G87" s="86">
        <f>(($B$10/$B$21)*'Inputs &amp; Parameters'!$B$7 + ('Barge - Liquid'!$B$68/'Barge - Liquid'!$B$66)*'Barge - Liquid'!$B$69)*VLOOKUP($A87,NPV!$B$3:$C$44,2,0)</f>
        <v>1127531.6129090001</v>
      </c>
      <c r="H87" s="86">
        <f t="shared" si="8"/>
        <v>1032965.451818182</v>
      </c>
      <c r="I87" s="86">
        <f>SUM(($B$5-1)*C87*$B$7,1*C87*$B$6)*VLOOKUP($A87,NPV!$B$3:$C$44,2,0)</f>
        <v>578323.92084580404</v>
      </c>
      <c r="J87" s="86">
        <f t="shared" si="9"/>
        <v>43312.5</v>
      </c>
      <c r="K87" s="86">
        <f>$B$61*0.75*(1+$B$62)*VLOOKUP($A87,NPV!$B$3:$C$44,2,0)</f>
        <v>24249.266785780983</v>
      </c>
      <c r="L87" s="86">
        <f t="shared" si="10"/>
        <v>111329.79333125385</v>
      </c>
      <c r="M87" s="86">
        <f>(B87*($B$12*$B$8))*($B$13/365)*($B$64/24)*VLOOKUP($A87,NPV!$B$3:$C$44,2,0)</f>
        <v>62329.947698595905</v>
      </c>
      <c r="N87" s="86">
        <f t="shared" si="11"/>
        <v>3201533.0904203746</v>
      </c>
      <c r="O87" s="86">
        <f t="shared" si="12"/>
        <v>1792434.748239181</v>
      </c>
      <c r="P87" s="8"/>
      <c r="Q87" s="86">
        <f>$D87*HLOOKUP($A87,'Barge - Liquid'!$A$31:$Y$36,2,FALSE)*HLOOKUP($A87,'Barge - Liquid'!$A$37:$Y$42,2,FALSE)</f>
        <v>256685.59385137408</v>
      </c>
      <c r="R87" s="86">
        <f>$D87*HLOOKUP($A87,'Barge - Liquid'!$A$31:$Y$36,2,FALSE)*HLOOKUP($A87,'Barge - Liquid'!$A$37:$Y$42,2,FALSE)*VLOOKUP($A87,NPV!$B$3:$D$44,3,0)</f>
        <v>176196.88720946855</v>
      </c>
      <c r="S87" s="86">
        <f>$D87*HLOOKUP($A87,'Barge - Liquid'!$A$31:$Y$36,3,FALSE)*HLOOKUP($A87,'Barge - Liquid'!$A$37:$Y$42,3,FALSE)</f>
        <v>0</v>
      </c>
      <c r="T87" s="86">
        <f>$D87*HLOOKUP($A87,'Barge - Liquid'!$A$31:$Y$36,3,FALSE)*HLOOKUP($A87,'Barge - Liquid'!$A$37:$Y$42,3,FALSE)*VLOOKUP($A87,NPV!$B$3:$C$44,2,0)</f>
        <v>0</v>
      </c>
      <c r="U87" s="86">
        <f>$D87*HLOOKUP($A87,'Barge - Liquid'!$A$31:$Y$36,4,FALSE)*HLOOKUP($A87,'Barge - Liquid'!$A$37:$Y$42,4,FALSE)</f>
        <v>0</v>
      </c>
      <c r="V87" s="86">
        <f>$D87*HLOOKUP($A87,'Barge - Liquid'!$A$31:$Y$36,4,FALSE)*HLOOKUP($A87,'Barge - Liquid'!$A$37:$Y$42,4,FALSE)*VLOOKUP($A87,NPV!$B$3:$C$44,2,0)</f>
        <v>0</v>
      </c>
      <c r="W87" s="86">
        <f>$D87*HLOOKUP($A87,'Barge - Liquid'!$A$31:$Y$36,5,FALSE)*HLOOKUP($A87,'Barge - Liquid'!$A$37:$Y$42,5,FALSE)</f>
        <v>0</v>
      </c>
      <c r="X87" s="86">
        <f>$D87*HLOOKUP($A87,'Barge - Liquid'!$A$31:$Y$36,5,FALSE)*HLOOKUP($A87,'Barge - Liquid'!$A$37:$Y$42,5,FALSE)*VLOOKUP($A87,NPV!$B$3:$C$44,2,0)</f>
        <v>0</v>
      </c>
      <c r="Y87" s="86">
        <f t="shared" si="13"/>
        <v>256685.59385137408</v>
      </c>
      <c r="Z87" s="86">
        <f t="shared" si="14"/>
        <v>176196.88720946855</v>
      </c>
      <c r="AB87" s="86">
        <f>$B$11*'Barge - Liquid'!$F$55*'Inputs &amp; Parameters'!$B$45</f>
        <v>1463.4359431952466</v>
      </c>
      <c r="AC87" s="86">
        <f>$B$11*'Barge - Liquid'!$F$55*'Inputs &amp; Parameters'!$B$45*VLOOKUP($A87,NPV!$B$3:$C$44,2,0)</f>
        <v>819.3304152483131</v>
      </c>
      <c r="AD87" s="86">
        <f>$B$11*'Barge - Liquid'!$E$55*'Inputs &amp; Parameters'!$B$44</f>
        <v>28169.18724513644</v>
      </c>
      <c r="AE87" s="86">
        <f>$B$11*'Barge - Liquid'!$E$55*'Inputs &amp; Parameters'!$B$44*VLOOKUP($A87,NPV!$B$3:$C$44,2,0)</f>
        <v>15771.016141897429</v>
      </c>
      <c r="AF87" s="86">
        <f t="shared" si="15"/>
        <v>29632.623188331687</v>
      </c>
      <c r="AG87" s="86">
        <f t="shared" si="16"/>
        <v>16590.346557145742</v>
      </c>
      <c r="AI87" s="16">
        <f t="shared" si="5"/>
        <v>3487851.3074600804</v>
      </c>
      <c r="AJ87" s="16">
        <f t="shared" si="6"/>
        <v>1985221.9820057952</v>
      </c>
    </row>
    <row r="88" spans="1:36" x14ac:dyDescent="0.25">
      <c r="A88" s="5">
        <f t="shared" si="7"/>
        <v>2042</v>
      </c>
      <c r="B88" s="10">
        <f t="shared" si="4"/>
        <v>259.66954545454547</v>
      </c>
      <c r="C88" s="10">
        <f>B88*'Inputs &amp; Parameters'!$C$20/60</f>
        <v>4674.0518181818188</v>
      </c>
      <c r="D88" s="10">
        <f>B88*'Inputs &amp; Parameters'!$B$20</f>
        <v>34065.750865891372</v>
      </c>
      <c r="F88" s="86">
        <f>(($B$10/$B$21)*'Inputs &amp; Parameters'!$B$7 + ('Barge - Liquid'!$B$68/'Barge - Liquid'!$B$66)*'Barge - Liquid'!$B$69)</f>
        <v>2013925.3452709387</v>
      </c>
      <c r="G88" s="86">
        <f>(($B$10/$B$21)*'Inputs &amp; Parameters'!$B$7 + ('Barge - Liquid'!$B$68/'Barge - Liquid'!$B$66)*'Barge - Liquid'!$B$69)*VLOOKUP($A88,NPV!$B$3:$C$44,2,0)</f>
        <v>1093629.1104839963</v>
      </c>
      <c r="H88" s="86">
        <f t="shared" si="8"/>
        <v>1032965.451818182</v>
      </c>
      <c r="I88" s="86">
        <f>SUM(($B$5-1)*C88*$B$7,1*C88*$B$6)*VLOOKUP($A88,NPV!$B$3:$C$44,2,0)</f>
        <v>560934.93777478568</v>
      </c>
      <c r="J88" s="86">
        <f t="shared" si="9"/>
        <v>43312.5</v>
      </c>
      <c r="K88" s="86">
        <f>$B$61*0.75*(1+$B$62)*VLOOKUP($A88,NPV!$B$3:$C$44,2,0)</f>
        <v>23520.142372241498</v>
      </c>
      <c r="L88" s="86">
        <f t="shared" si="10"/>
        <v>111329.79333125385</v>
      </c>
      <c r="M88" s="86">
        <f>(B88*($B$12*$B$8))*($B$13/365)*($B$64/24)*VLOOKUP($A88,NPV!$B$3:$C$44,2,0)</f>
        <v>60455.817360422807</v>
      </c>
      <c r="N88" s="86">
        <f t="shared" si="11"/>
        <v>3201533.0904203746</v>
      </c>
      <c r="O88" s="86">
        <f t="shared" si="12"/>
        <v>1738540.0079914462</v>
      </c>
      <c r="P88" s="8"/>
      <c r="Q88" s="86">
        <f>$D88*HLOOKUP($A88,'Barge - Liquid'!$A$31:$Y$36,2,FALSE)*HLOOKUP($A88,'Barge - Liquid'!$A$37:$Y$42,2,FALSE)</f>
        <v>260474.31110379289</v>
      </c>
      <c r="R88" s="86">
        <f>$D88*HLOOKUP($A88,'Barge - Liquid'!$A$31:$Y$36,2,FALSE)*HLOOKUP($A88,'Barge - Liquid'!$A$37:$Y$42,2,FALSE)*VLOOKUP($A88,NPV!$B$3:$D$44,3,0)</f>
        <v>175291.74438392249</v>
      </c>
      <c r="S88" s="86">
        <f>$D88*HLOOKUP($A88,'Barge - Liquid'!$A$31:$Y$36,3,FALSE)*HLOOKUP($A88,'Barge - Liquid'!$A$37:$Y$42,3,FALSE)</f>
        <v>0</v>
      </c>
      <c r="T88" s="86">
        <f>$D88*HLOOKUP($A88,'Barge - Liquid'!$A$31:$Y$36,3,FALSE)*HLOOKUP($A88,'Barge - Liquid'!$A$37:$Y$42,3,FALSE)*VLOOKUP($A88,NPV!$B$3:$C$44,2,0)</f>
        <v>0</v>
      </c>
      <c r="U88" s="86">
        <f>$D88*HLOOKUP($A88,'Barge - Liquid'!$A$31:$Y$36,4,FALSE)*HLOOKUP($A88,'Barge - Liquid'!$A$37:$Y$42,4,FALSE)</f>
        <v>0</v>
      </c>
      <c r="V88" s="86">
        <f>$D88*HLOOKUP($A88,'Barge - Liquid'!$A$31:$Y$36,4,FALSE)*HLOOKUP($A88,'Barge - Liquid'!$A$37:$Y$42,4,FALSE)*VLOOKUP($A88,NPV!$B$3:$C$44,2,0)</f>
        <v>0</v>
      </c>
      <c r="W88" s="86">
        <f>$D88*HLOOKUP($A88,'Barge - Liquid'!$A$31:$Y$36,5,FALSE)*HLOOKUP($A88,'Barge - Liquid'!$A$37:$Y$42,5,FALSE)</f>
        <v>0</v>
      </c>
      <c r="X88" s="86">
        <f>$D88*HLOOKUP($A88,'Barge - Liquid'!$A$31:$Y$36,5,FALSE)*HLOOKUP($A88,'Barge - Liquid'!$A$37:$Y$42,5,FALSE)*VLOOKUP($A88,NPV!$B$3:$C$44,2,0)</f>
        <v>0</v>
      </c>
      <c r="Y88" s="86">
        <f t="shared" si="13"/>
        <v>260474.31110379289</v>
      </c>
      <c r="Z88" s="86">
        <f t="shared" si="14"/>
        <v>175291.74438392249</v>
      </c>
      <c r="AB88" s="86">
        <f>$B$11*'Barge - Liquid'!$F$55*'Inputs &amp; Parameters'!$B$45</f>
        <v>1463.4359431952466</v>
      </c>
      <c r="AC88" s="86">
        <f>$B$11*'Barge - Liquid'!$F$55*'Inputs &amp; Parameters'!$B$45*VLOOKUP($A88,NPV!$B$3:$C$44,2,0)</f>
        <v>794.6948741496733</v>
      </c>
      <c r="AD88" s="86">
        <f>$B$11*'Barge - Liquid'!$E$55*'Inputs &amp; Parameters'!$B$44</f>
        <v>28169.18724513644</v>
      </c>
      <c r="AE88" s="86">
        <f>$B$11*'Barge - Liquid'!$E$55*'Inputs &amp; Parameters'!$B$44*VLOOKUP($A88,NPV!$B$3:$C$44,2,0)</f>
        <v>15296.814880598866</v>
      </c>
      <c r="AF88" s="86">
        <f t="shared" si="15"/>
        <v>29632.623188331687</v>
      </c>
      <c r="AG88" s="86">
        <f t="shared" si="16"/>
        <v>16091.509754748538</v>
      </c>
      <c r="AI88" s="16">
        <f t="shared" si="5"/>
        <v>3491640.0247124992</v>
      </c>
      <c r="AJ88" s="16">
        <f t="shared" si="6"/>
        <v>1929923.2621301173</v>
      </c>
    </row>
    <row r="89" spans="1:36" x14ac:dyDescent="0.25">
      <c r="A89" s="5">
        <f t="shared" si="7"/>
        <v>2043</v>
      </c>
      <c r="B89" s="10">
        <f t="shared" si="4"/>
        <v>259.66954545454547</v>
      </c>
      <c r="C89" s="10">
        <f>B89*'Inputs &amp; Parameters'!$C$20/60</f>
        <v>4674.0518181818188</v>
      </c>
      <c r="D89" s="10">
        <f>B89*'Inputs &amp; Parameters'!$B$20</f>
        <v>34065.750865891372</v>
      </c>
      <c r="F89" s="86">
        <f>(($B$10/$B$21)*'Inputs &amp; Parameters'!$B$7 + ('Barge - Liquid'!$B$68/'Barge - Liquid'!$B$66)*'Barge - Liquid'!$B$69)</f>
        <v>2013925.3452709387</v>
      </c>
      <c r="G89" s="86">
        <f>(($B$10/$B$21)*'Inputs &amp; Parameters'!$B$7 + ('Barge - Liquid'!$B$68/'Barge - Liquid'!$B$66)*'Barge - Liquid'!$B$69)*VLOOKUP($A89,NPV!$B$3:$C$44,2,0)</f>
        <v>1060745.9849505299</v>
      </c>
      <c r="H89" s="86">
        <f t="shared" si="8"/>
        <v>1032965.451818182</v>
      </c>
      <c r="I89" s="86">
        <f>SUM(($B$5-1)*C89*$B$7,1*C89*$B$6)*VLOOKUP($A89,NPV!$B$3:$C$44,2,0)</f>
        <v>544068.80482520442</v>
      </c>
      <c r="J89" s="86">
        <f t="shared" si="9"/>
        <v>43312.5</v>
      </c>
      <c r="K89" s="86">
        <f>$B$61*0.75*(1+$B$62)*VLOOKUP($A89,NPV!$B$3:$C$44,2,0)</f>
        <v>22812.941195190589</v>
      </c>
      <c r="L89" s="86">
        <f t="shared" si="10"/>
        <v>111329.79333125385</v>
      </c>
      <c r="M89" s="86">
        <f>(B89*($B$12*$B$8))*($B$13/365)*($B$64/24)*VLOOKUP($A89,NPV!$B$3:$C$44,2,0)</f>
        <v>58638.038176937735</v>
      </c>
      <c r="N89" s="86">
        <f t="shared" si="11"/>
        <v>3201533.0904203746</v>
      </c>
      <c r="O89" s="86">
        <f t="shared" si="12"/>
        <v>1686265.7691478627</v>
      </c>
      <c r="P89" s="8"/>
      <c r="Q89" s="86">
        <f>$D89*HLOOKUP($A89,'Barge - Liquid'!$A$31:$Y$36,2,FALSE)*HLOOKUP($A89,'Barge - Liquid'!$A$37:$Y$42,2,FALSE)</f>
        <v>264263.02835621173</v>
      </c>
      <c r="R89" s="86">
        <f>$D89*HLOOKUP($A89,'Barge - Liquid'!$A$31:$Y$36,2,FALSE)*HLOOKUP($A89,'Barge - Liquid'!$A$37:$Y$42,2,FALSE)*VLOOKUP($A89,NPV!$B$3:$D$44,3,0)</f>
        <v>174354.35537652185</v>
      </c>
      <c r="S89" s="86">
        <f>$D89*HLOOKUP($A89,'Barge - Liquid'!$A$31:$Y$36,3,FALSE)*HLOOKUP($A89,'Barge - Liquid'!$A$37:$Y$42,3,FALSE)</f>
        <v>0</v>
      </c>
      <c r="T89" s="86">
        <f>$D89*HLOOKUP($A89,'Barge - Liquid'!$A$31:$Y$36,3,FALSE)*HLOOKUP($A89,'Barge - Liquid'!$A$37:$Y$42,3,FALSE)*VLOOKUP($A89,NPV!$B$3:$C$44,2,0)</f>
        <v>0</v>
      </c>
      <c r="U89" s="86">
        <f>$D89*HLOOKUP($A89,'Barge - Liquid'!$A$31:$Y$36,4,FALSE)*HLOOKUP($A89,'Barge - Liquid'!$A$37:$Y$42,4,FALSE)</f>
        <v>0</v>
      </c>
      <c r="V89" s="86">
        <f>$D89*HLOOKUP($A89,'Barge - Liquid'!$A$31:$Y$36,4,FALSE)*HLOOKUP($A89,'Barge - Liquid'!$A$37:$Y$42,4,FALSE)*VLOOKUP($A89,NPV!$B$3:$C$44,2,0)</f>
        <v>0</v>
      </c>
      <c r="W89" s="86">
        <f>$D89*HLOOKUP($A89,'Barge - Liquid'!$A$31:$Y$36,5,FALSE)*HLOOKUP($A89,'Barge - Liquid'!$A$37:$Y$42,5,FALSE)</f>
        <v>0</v>
      </c>
      <c r="X89" s="86">
        <f>$D89*HLOOKUP($A89,'Barge - Liquid'!$A$31:$Y$36,5,FALSE)*HLOOKUP($A89,'Barge - Liquid'!$A$37:$Y$42,5,FALSE)*VLOOKUP($A89,NPV!$B$3:$C$44,2,0)</f>
        <v>0</v>
      </c>
      <c r="Y89" s="86">
        <f t="shared" si="13"/>
        <v>264263.02835621173</v>
      </c>
      <c r="Z89" s="86">
        <f t="shared" si="14"/>
        <v>174354.35537652185</v>
      </c>
      <c r="AB89" s="86">
        <f>$B$11*'Barge - Liquid'!$F$55*'Inputs &amp; Parameters'!$B$45</f>
        <v>1463.4359431952466</v>
      </c>
      <c r="AC89" s="86">
        <f>$B$11*'Barge - Liquid'!$F$55*'Inputs &amp; Parameters'!$B$45*VLOOKUP($A89,NPV!$B$3:$C$44,2,0)</f>
        <v>770.80007192014864</v>
      </c>
      <c r="AD89" s="86">
        <f>$B$11*'Barge - Liquid'!$E$55*'Inputs &amp; Parameters'!$B$44</f>
        <v>28169.18724513644</v>
      </c>
      <c r="AE89" s="86">
        <f>$B$11*'Barge - Liquid'!$E$55*'Inputs &amp; Parameters'!$B$44*VLOOKUP($A89,NPV!$B$3:$C$44,2,0)</f>
        <v>14836.871853151179</v>
      </c>
      <c r="AF89" s="86">
        <f t="shared" si="15"/>
        <v>29632.623188331687</v>
      </c>
      <c r="AG89" s="86">
        <f t="shared" si="16"/>
        <v>15607.671925071327</v>
      </c>
      <c r="AI89" s="16">
        <f t="shared" si="5"/>
        <v>3495428.7419649181</v>
      </c>
      <c r="AJ89" s="16">
        <f t="shared" si="6"/>
        <v>1876227.7964494559</v>
      </c>
    </row>
    <row r="90" spans="1:36" x14ac:dyDescent="0.25">
      <c r="A90" s="5">
        <f t="shared" si="7"/>
        <v>2044</v>
      </c>
      <c r="B90" s="10">
        <f t="shared" si="4"/>
        <v>259.66954545454547</v>
      </c>
      <c r="C90" s="10">
        <f>B90*'Inputs &amp; Parameters'!$C$20/60</f>
        <v>4674.0518181818188</v>
      </c>
      <c r="D90" s="10">
        <f>B90*'Inputs &amp; Parameters'!$B$20</f>
        <v>34065.750865891372</v>
      </c>
      <c r="F90" s="86">
        <f>(($B$10/$B$21)*'Inputs &amp; Parameters'!$B$7 + ('Barge - Liquid'!$B$68/'Barge - Liquid'!$B$66)*'Barge - Liquid'!$B$69)</f>
        <v>2013925.3452709387</v>
      </c>
      <c r="G90" s="86">
        <f>(($B$10/$B$21)*'Inputs &amp; Parameters'!$B$7 + ('Barge - Liquid'!$B$68/'Barge - Liquid'!$B$66)*'Barge - Liquid'!$B$69)*VLOOKUP($A90,NPV!$B$3:$C$44,2,0)</f>
        <v>1028851.5857910089</v>
      </c>
      <c r="H90" s="86">
        <f t="shared" si="8"/>
        <v>1032965.451818182</v>
      </c>
      <c r="I90" s="86">
        <f>SUM(($B$5-1)*C90*$B$7,1*C90*$B$6)*VLOOKUP($A90,NPV!$B$3:$C$44,2,0)</f>
        <v>527709.80099437875</v>
      </c>
      <c r="J90" s="86">
        <f t="shared" si="9"/>
        <v>43312.5</v>
      </c>
      <c r="K90" s="86">
        <f>$B$61*0.75*(1+$B$62)*VLOOKUP($A90,NPV!$B$3:$C$44,2,0)</f>
        <v>22127.004069050043</v>
      </c>
      <c r="L90" s="86">
        <f t="shared" si="10"/>
        <v>111329.79333125385</v>
      </c>
      <c r="M90" s="86">
        <f>(B90*($B$12*$B$8))*($B$13/365)*($B$64/24)*VLOOKUP($A90,NPV!$B$3:$C$44,2,0)</f>
        <v>56874.915787524485</v>
      </c>
      <c r="N90" s="86">
        <f t="shared" si="11"/>
        <v>3201533.0904203746</v>
      </c>
      <c r="O90" s="86">
        <f t="shared" si="12"/>
        <v>1635563.3066419621</v>
      </c>
      <c r="P90" s="8"/>
      <c r="Q90" s="86">
        <f>$D90*HLOOKUP($A90,'Barge - Liquid'!$A$31:$Y$36,2,FALSE)*HLOOKUP($A90,'Barge - Liquid'!$A$37:$Y$42,2,FALSE)</f>
        <v>268051.74560863047</v>
      </c>
      <c r="R90" s="86">
        <f>$D90*HLOOKUP($A90,'Barge - Liquid'!$A$31:$Y$36,2,FALSE)*HLOOKUP($A90,'Barge - Liquid'!$A$37:$Y$42,2,FALSE)*VLOOKUP($A90,NPV!$B$3:$D$44,3,0)</f>
        <v>173386.33274142831</v>
      </c>
      <c r="S90" s="86">
        <f>$D90*HLOOKUP($A90,'Barge - Liquid'!$A$31:$Y$36,3,FALSE)*HLOOKUP($A90,'Barge - Liquid'!$A$37:$Y$42,3,FALSE)</f>
        <v>0</v>
      </c>
      <c r="T90" s="86">
        <f>$D90*HLOOKUP($A90,'Barge - Liquid'!$A$31:$Y$36,3,FALSE)*HLOOKUP($A90,'Barge - Liquid'!$A$37:$Y$42,3,FALSE)*VLOOKUP($A90,NPV!$B$3:$C$44,2,0)</f>
        <v>0</v>
      </c>
      <c r="U90" s="86">
        <f>$D90*HLOOKUP($A90,'Barge - Liquid'!$A$31:$Y$36,4,FALSE)*HLOOKUP($A90,'Barge - Liquid'!$A$37:$Y$42,4,FALSE)</f>
        <v>0</v>
      </c>
      <c r="V90" s="86">
        <f>$D90*HLOOKUP($A90,'Barge - Liquid'!$A$31:$Y$36,4,FALSE)*HLOOKUP($A90,'Barge - Liquid'!$A$37:$Y$42,4,FALSE)*VLOOKUP($A90,NPV!$B$3:$C$44,2,0)</f>
        <v>0</v>
      </c>
      <c r="W90" s="86">
        <f>$D90*HLOOKUP($A90,'Barge - Liquid'!$A$31:$Y$36,5,FALSE)*HLOOKUP($A90,'Barge - Liquid'!$A$37:$Y$42,5,FALSE)</f>
        <v>0</v>
      </c>
      <c r="X90" s="86">
        <f>$D90*HLOOKUP($A90,'Barge - Liquid'!$A$31:$Y$36,5,FALSE)*HLOOKUP($A90,'Barge - Liquid'!$A$37:$Y$42,5,FALSE)*VLOOKUP($A90,NPV!$B$3:$C$44,2,0)</f>
        <v>0</v>
      </c>
      <c r="Y90" s="86">
        <f t="shared" si="13"/>
        <v>268051.74560863047</v>
      </c>
      <c r="Z90" s="86">
        <f t="shared" si="14"/>
        <v>173386.33274142831</v>
      </c>
      <c r="AB90" s="86">
        <f>$B$11*'Barge - Liquid'!$F$55*'Inputs &amp; Parameters'!$B$45</f>
        <v>1463.4359431952466</v>
      </c>
      <c r="AC90" s="86">
        <f>$B$11*'Barge - Liquid'!$F$55*'Inputs &amp; Parameters'!$B$45*VLOOKUP($A90,NPV!$B$3:$C$44,2,0)</f>
        <v>747.62373610101724</v>
      </c>
      <c r="AD90" s="86">
        <f>$B$11*'Barge - Liquid'!$E$55*'Inputs &amp; Parameters'!$B$44</f>
        <v>28169.18724513644</v>
      </c>
      <c r="AE90" s="86">
        <f>$B$11*'Barge - Liquid'!$E$55*'Inputs &amp; Parameters'!$B$44*VLOOKUP($A90,NPV!$B$3:$C$44,2,0)</f>
        <v>14390.758344472531</v>
      </c>
      <c r="AF90" s="86">
        <f t="shared" si="15"/>
        <v>29632.623188331687</v>
      </c>
      <c r="AG90" s="86">
        <f t="shared" si="16"/>
        <v>15138.382080573549</v>
      </c>
      <c r="AI90" s="16">
        <f t="shared" si="5"/>
        <v>3499217.459217337</v>
      </c>
      <c r="AJ90" s="16">
        <f t="shared" si="6"/>
        <v>1824088.0214639641</v>
      </c>
    </row>
    <row r="91" spans="1:36" x14ac:dyDescent="0.25">
      <c r="A91" s="5">
        <f t="shared" si="7"/>
        <v>2045</v>
      </c>
      <c r="B91" s="10">
        <f t="shared" si="4"/>
        <v>259.66954545454547</v>
      </c>
      <c r="C91" s="10">
        <f>B91*'Inputs &amp; Parameters'!$C$20/60</f>
        <v>4674.0518181818188</v>
      </c>
      <c r="D91" s="10">
        <f>B91*'Inputs &amp; Parameters'!$B$20</f>
        <v>34065.750865891372</v>
      </c>
      <c r="F91" s="86">
        <f>(($B$10/$B$21)*'Inputs &amp; Parameters'!$B$7 + ('Barge - Liquid'!$B$68/'Barge - Liquid'!$B$66)*'Barge - Liquid'!$B$69)</f>
        <v>2013925.3452709387</v>
      </c>
      <c r="G91" s="86">
        <f>(($B$10/$B$21)*'Inputs &amp; Parameters'!$B$7 + ('Barge - Liquid'!$B$68/'Barge - Liquid'!$B$66)*'Barge - Liquid'!$B$69)*VLOOKUP($A91,NPV!$B$3:$C$44,2,0)</f>
        <v>997916.18408439262</v>
      </c>
      <c r="H91" s="86">
        <f t="shared" si="8"/>
        <v>1032965.451818182</v>
      </c>
      <c r="I91" s="86">
        <f>SUM(($B$5-1)*C91*$B$7,1*C91*$B$6)*VLOOKUP($A91,NPV!$B$3:$C$44,2,0)</f>
        <v>511842.67797708896</v>
      </c>
      <c r="J91" s="86">
        <f t="shared" si="9"/>
        <v>43312.5</v>
      </c>
      <c r="K91" s="86">
        <f>$B$61*0.75*(1+$B$62)*VLOOKUP($A91,NPV!$B$3:$C$44,2,0)</f>
        <v>21461.691628564538</v>
      </c>
      <c r="L91" s="86">
        <f t="shared" si="10"/>
        <v>111329.79333125385</v>
      </c>
      <c r="M91" s="86">
        <f>(B91*($B$12*$B$8))*($B$13/365)*($B$64/24)*VLOOKUP($A91,NPV!$B$3:$C$44,2,0)</f>
        <v>55164.806777424325</v>
      </c>
      <c r="N91" s="86">
        <f t="shared" si="11"/>
        <v>3201533.0904203746</v>
      </c>
      <c r="O91" s="86">
        <f t="shared" si="12"/>
        <v>1586385.3604674705</v>
      </c>
      <c r="P91" s="8"/>
      <c r="Q91" s="86">
        <f>$D91*HLOOKUP($A91,'Barge - Liquid'!$A$31:$Y$36,2,FALSE)*HLOOKUP($A91,'Barge - Liquid'!$A$37:$Y$42,2,FALSE)</f>
        <v>271840.46286104928</v>
      </c>
      <c r="R91" s="86">
        <f>$D91*HLOOKUP($A91,'Barge - Liquid'!$A$31:$Y$36,2,FALSE)*HLOOKUP($A91,'Barge - Liquid'!$A$37:$Y$42,2,FALSE)*VLOOKUP($A91,NPV!$B$3:$D$44,3,0)</f>
        <v>172389.23819299499</v>
      </c>
      <c r="S91" s="86">
        <f>$D91*HLOOKUP($A91,'Barge - Liquid'!$A$31:$Y$36,3,FALSE)*HLOOKUP($A91,'Barge - Liquid'!$A$37:$Y$42,3,FALSE)</f>
        <v>0</v>
      </c>
      <c r="T91" s="86">
        <f>$D91*HLOOKUP($A91,'Barge - Liquid'!$A$31:$Y$36,3,FALSE)*HLOOKUP($A91,'Barge - Liquid'!$A$37:$Y$42,3,FALSE)*VLOOKUP($A91,NPV!$B$3:$C$44,2,0)</f>
        <v>0</v>
      </c>
      <c r="U91" s="86">
        <f>$D91*HLOOKUP($A91,'Barge - Liquid'!$A$31:$Y$36,4,FALSE)*HLOOKUP($A91,'Barge - Liquid'!$A$37:$Y$42,4,FALSE)</f>
        <v>0</v>
      </c>
      <c r="V91" s="86">
        <f>$D91*HLOOKUP($A91,'Barge - Liquid'!$A$31:$Y$36,4,FALSE)*HLOOKUP($A91,'Barge - Liquid'!$A$37:$Y$42,4,FALSE)*VLOOKUP($A91,NPV!$B$3:$C$44,2,0)</f>
        <v>0</v>
      </c>
      <c r="W91" s="86">
        <f>$D91*HLOOKUP($A91,'Barge - Liquid'!$A$31:$Y$36,5,FALSE)*HLOOKUP($A91,'Barge - Liquid'!$A$37:$Y$42,5,FALSE)</f>
        <v>0</v>
      </c>
      <c r="X91" s="86">
        <f>$D91*HLOOKUP($A91,'Barge - Liquid'!$A$31:$Y$36,5,FALSE)*HLOOKUP($A91,'Barge - Liquid'!$A$37:$Y$42,5,FALSE)*VLOOKUP($A91,NPV!$B$3:$C$44,2,0)</f>
        <v>0</v>
      </c>
      <c r="Y91" s="86">
        <f t="shared" si="13"/>
        <v>271840.46286104928</v>
      </c>
      <c r="Z91" s="86">
        <f t="shared" si="14"/>
        <v>172389.23819299499</v>
      </c>
      <c r="AB91" s="86">
        <f>$B$11*'Barge - Liquid'!$F$55*'Inputs &amp; Parameters'!$B$45</f>
        <v>1463.4359431952466</v>
      </c>
      <c r="AC91" s="86">
        <f>$B$11*'Barge - Liquid'!$F$55*'Inputs &amp; Parameters'!$B$45*VLOOKUP($A91,NPV!$B$3:$C$44,2,0)</f>
        <v>725.14426391951224</v>
      </c>
      <c r="AD91" s="86">
        <f>$B$11*'Barge - Liquid'!$E$55*'Inputs &amp; Parameters'!$B$44</f>
        <v>28169.18724513644</v>
      </c>
      <c r="AE91" s="86">
        <f>$B$11*'Barge - Liquid'!$E$55*'Inputs &amp; Parameters'!$B$44*VLOOKUP($A91,NPV!$B$3:$C$44,2,0)</f>
        <v>13958.058530041253</v>
      </c>
      <c r="AF91" s="86">
        <f t="shared" si="15"/>
        <v>29632.623188331687</v>
      </c>
      <c r="AG91" s="86">
        <f t="shared" si="16"/>
        <v>14683.202793960765</v>
      </c>
      <c r="AI91" s="16">
        <f t="shared" si="5"/>
        <v>3503006.1764697558</v>
      </c>
      <c r="AJ91" s="16">
        <f t="shared" si="6"/>
        <v>1773457.8014544263</v>
      </c>
    </row>
    <row r="92" spans="1:36" x14ac:dyDescent="0.25">
      <c r="A92" s="5">
        <f t="shared" si="7"/>
        <v>2046</v>
      </c>
      <c r="B92" s="10">
        <f t="shared" si="4"/>
        <v>259.66954545454547</v>
      </c>
      <c r="C92" s="10">
        <f>B92*'Inputs &amp; Parameters'!$C$20/60</f>
        <v>4674.0518181818188</v>
      </c>
      <c r="D92" s="10">
        <f>B92*'Inputs &amp; Parameters'!$B$20</f>
        <v>34065.750865891372</v>
      </c>
      <c r="F92" s="86">
        <f>(($B$10/$B$21)*'Inputs &amp; Parameters'!$B$7 + ('Barge - Liquid'!$B$68/'Barge - Liquid'!$B$66)*'Barge - Liquid'!$B$69)</f>
        <v>2013925.3452709387</v>
      </c>
      <c r="G92" s="86">
        <f>(($B$10/$B$21)*'Inputs &amp; Parameters'!$B$7 + ('Barge - Liquid'!$B$68/'Barge - Liquid'!$B$66)*'Barge - Liquid'!$B$69)*VLOOKUP($A92,NPV!$B$3:$C$44,2,0)</f>
        <v>967910.94479572529</v>
      </c>
      <c r="H92" s="86">
        <f t="shared" si="8"/>
        <v>1032965.451818182</v>
      </c>
      <c r="I92" s="86">
        <f>SUM(($B$5-1)*C92*$B$7,1*C92*$B$6)*VLOOKUP($A92,NPV!$B$3:$C$44,2,0)</f>
        <v>496452.64595255966</v>
      </c>
      <c r="J92" s="86">
        <f t="shared" si="9"/>
        <v>43312.5</v>
      </c>
      <c r="K92" s="86">
        <f>$B$61*0.75*(1+$B$62)*VLOOKUP($A92,NPV!$B$3:$C$44,2,0)</f>
        <v>20816.383732846309</v>
      </c>
      <c r="L92" s="86">
        <f t="shared" si="10"/>
        <v>111329.79333125385</v>
      </c>
      <c r="M92" s="86">
        <f>(B92*($B$12*$B$8))*($B$13/365)*($B$64/24)*VLOOKUP($A92,NPV!$B$3:$C$44,2,0)</f>
        <v>53506.117145901393</v>
      </c>
      <c r="N92" s="86">
        <f t="shared" si="11"/>
        <v>3201533.0904203746</v>
      </c>
      <c r="O92" s="86">
        <f t="shared" si="12"/>
        <v>1538686.0916270325</v>
      </c>
      <c r="P92" s="8"/>
      <c r="Q92" s="86">
        <f>$D92*HLOOKUP($A92,'Barge - Liquid'!$A$31:$Y$36,2,FALSE)*HLOOKUP($A92,'Barge - Liquid'!$A$37:$Y$42,2,FALSE)</f>
        <v>275629.18011346814</v>
      </c>
      <c r="R92" s="86">
        <f>$D92*HLOOKUP($A92,'Barge - Liquid'!$A$31:$Y$36,2,FALSE)*HLOOKUP($A92,'Barge - Liquid'!$A$37:$Y$42,2,FALSE)*VLOOKUP($A92,NPV!$B$3:$D$44,3,0)</f>
        <v>171364.58397950928</v>
      </c>
      <c r="S92" s="86">
        <f>$D92*HLOOKUP($A92,'Barge - Liquid'!$A$31:$Y$36,3,FALSE)*HLOOKUP($A92,'Barge - Liquid'!$A$37:$Y$42,3,FALSE)</f>
        <v>0</v>
      </c>
      <c r="T92" s="86">
        <f>$D92*HLOOKUP($A92,'Barge - Liquid'!$A$31:$Y$36,3,FALSE)*HLOOKUP($A92,'Barge - Liquid'!$A$37:$Y$42,3,FALSE)*VLOOKUP($A92,NPV!$B$3:$C$44,2,0)</f>
        <v>0</v>
      </c>
      <c r="U92" s="86">
        <f>$D92*HLOOKUP($A92,'Barge - Liquid'!$A$31:$Y$36,4,FALSE)*HLOOKUP($A92,'Barge - Liquid'!$A$37:$Y$42,4,FALSE)</f>
        <v>0</v>
      </c>
      <c r="V92" s="86">
        <f>$D92*HLOOKUP($A92,'Barge - Liquid'!$A$31:$Y$36,4,FALSE)*HLOOKUP($A92,'Barge - Liquid'!$A$37:$Y$42,4,FALSE)*VLOOKUP($A92,NPV!$B$3:$C$44,2,0)</f>
        <v>0</v>
      </c>
      <c r="W92" s="86">
        <f>$D92*HLOOKUP($A92,'Barge - Liquid'!$A$31:$Y$36,5,FALSE)*HLOOKUP($A92,'Barge - Liquid'!$A$37:$Y$42,5,FALSE)</f>
        <v>0</v>
      </c>
      <c r="X92" s="86">
        <f>$D92*HLOOKUP($A92,'Barge - Liquid'!$A$31:$Y$36,5,FALSE)*HLOOKUP($A92,'Barge - Liquid'!$A$37:$Y$42,5,FALSE)*VLOOKUP($A92,NPV!$B$3:$C$44,2,0)</f>
        <v>0</v>
      </c>
      <c r="Y92" s="86">
        <f t="shared" si="13"/>
        <v>275629.18011346814</v>
      </c>
      <c r="Z92" s="86">
        <f t="shared" si="14"/>
        <v>171364.58397950928</v>
      </c>
      <c r="AB92" s="86">
        <f>$B$11*'Barge - Liquid'!$F$55*'Inputs &amp; Parameters'!$B$45</f>
        <v>1463.4359431952466</v>
      </c>
      <c r="AC92" s="86">
        <f>$B$11*'Barge - Liquid'!$F$55*'Inputs &amp; Parameters'!$B$45*VLOOKUP($A92,NPV!$B$3:$C$44,2,0)</f>
        <v>703.34070215277632</v>
      </c>
      <c r="AD92" s="86">
        <f>$B$11*'Barge - Liquid'!$E$55*'Inputs &amp; Parameters'!$B$44</f>
        <v>28169.18724513644</v>
      </c>
      <c r="AE92" s="86">
        <f>$B$11*'Barge - Liquid'!$E$55*'Inputs &amp; Parameters'!$B$44*VLOOKUP($A92,NPV!$B$3:$C$44,2,0)</f>
        <v>13538.369088303836</v>
      </c>
      <c r="AF92" s="86">
        <f t="shared" si="15"/>
        <v>29632.623188331687</v>
      </c>
      <c r="AG92" s="86">
        <f t="shared" si="16"/>
        <v>14241.709790456613</v>
      </c>
      <c r="AI92" s="16">
        <f t="shared" si="5"/>
        <v>3506794.8937221747</v>
      </c>
      <c r="AJ92" s="16">
        <f t="shared" si="6"/>
        <v>1724292.3853969984</v>
      </c>
    </row>
    <row r="93" spans="1:36" x14ac:dyDescent="0.25">
      <c r="A93" s="5">
        <f t="shared" si="7"/>
        <v>2047</v>
      </c>
      <c r="B93" s="10">
        <f t="shared" si="4"/>
        <v>259.66954545454547</v>
      </c>
      <c r="C93" s="10">
        <f>B93*'Inputs &amp; Parameters'!$C$20/60</f>
        <v>4674.0518181818188</v>
      </c>
      <c r="D93" s="10">
        <f>B93*'Inputs &amp; Parameters'!$B$20</f>
        <v>34065.750865891372</v>
      </c>
      <c r="F93" s="86">
        <f>(($B$10/$B$21)*'Inputs &amp; Parameters'!$B$7 + ('Barge - Liquid'!$B$68/'Barge - Liquid'!$B$66)*'Barge - Liquid'!$B$69)</f>
        <v>2013925.3452709387</v>
      </c>
      <c r="G93" s="86">
        <f>(($B$10/$B$21)*'Inputs &amp; Parameters'!$B$7 + ('Barge - Liquid'!$B$68/'Barge - Liquid'!$B$66)*'Barge - Liquid'!$B$69)*VLOOKUP($A93,NPV!$B$3:$C$44,2,0)</f>
        <v>938807.8998988606</v>
      </c>
      <c r="H93" s="86">
        <f t="shared" si="8"/>
        <v>1032965.451818182</v>
      </c>
      <c r="I93" s="86">
        <f>SUM(($B$5-1)*C93*$B$7,1*C93*$B$6)*VLOOKUP($A93,NPV!$B$3:$C$44,2,0)</f>
        <v>481525.35979879694</v>
      </c>
      <c r="J93" s="86">
        <f t="shared" si="9"/>
        <v>43312.5</v>
      </c>
      <c r="K93" s="86">
        <f>$B$61*0.75*(1+$B$62)*VLOOKUP($A93,NPV!$B$3:$C$44,2,0)</f>
        <v>20190.478887338806</v>
      </c>
      <c r="L93" s="86">
        <f t="shared" si="10"/>
        <v>111329.79333125385</v>
      </c>
      <c r="M93" s="86">
        <f>(B93*($B$12*$B$8))*($B$13/365)*($B$64/24)*VLOOKUP($A93,NPV!$B$3:$C$44,2,0)</f>
        <v>51897.300820466917</v>
      </c>
      <c r="N93" s="86">
        <f t="shared" si="11"/>
        <v>3201533.0904203746</v>
      </c>
      <c r="O93" s="86">
        <f t="shared" si="12"/>
        <v>1492421.0394054633</v>
      </c>
      <c r="P93" s="8"/>
      <c r="Q93" s="86">
        <f>$D93*HLOOKUP($A93,'Barge - Liquid'!$A$31:$Y$36,2,FALSE)*HLOOKUP($A93,'Barge - Liquid'!$A$37:$Y$42,2,FALSE)</f>
        <v>280365.07667899161</v>
      </c>
      <c r="R93" s="86">
        <f>$D93*HLOOKUP($A93,'Barge - Liquid'!$A$31:$Y$36,2,FALSE)*HLOOKUP($A93,'Barge - Liquid'!$A$37:$Y$42,2,FALSE)*VLOOKUP($A93,NPV!$B$3:$D$44,3,0)</f>
        <v>170891.16925387355</v>
      </c>
      <c r="S93" s="86">
        <f>$D93*HLOOKUP($A93,'Barge - Liquid'!$A$31:$Y$36,3,FALSE)*HLOOKUP($A93,'Barge - Liquid'!$A$37:$Y$42,3,FALSE)</f>
        <v>0</v>
      </c>
      <c r="T93" s="86">
        <f>$D93*HLOOKUP($A93,'Barge - Liquid'!$A$31:$Y$36,3,FALSE)*HLOOKUP($A93,'Barge - Liquid'!$A$37:$Y$42,3,FALSE)*VLOOKUP($A93,NPV!$B$3:$C$44,2,0)</f>
        <v>0</v>
      </c>
      <c r="U93" s="86">
        <f>$D93*HLOOKUP($A93,'Barge - Liquid'!$A$31:$Y$36,4,FALSE)*HLOOKUP($A93,'Barge - Liquid'!$A$37:$Y$42,4,FALSE)</f>
        <v>0</v>
      </c>
      <c r="V93" s="86">
        <f>$D93*HLOOKUP($A93,'Barge - Liquid'!$A$31:$Y$36,4,FALSE)*HLOOKUP($A93,'Barge - Liquid'!$A$37:$Y$42,4,FALSE)*VLOOKUP($A93,NPV!$B$3:$C$44,2,0)</f>
        <v>0</v>
      </c>
      <c r="W93" s="86">
        <f>$D93*HLOOKUP($A93,'Barge - Liquid'!$A$31:$Y$36,5,FALSE)*HLOOKUP($A93,'Barge - Liquid'!$A$37:$Y$42,5,FALSE)</f>
        <v>0</v>
      </c>
      <c r="X93" s="86">
        <f>$D93*HLOOKUP($A93,'Barge - Liquid'!$A$31:$Y$36,5,FALSE)*HLOOKUP($A93,'Barge - Liquid'!$A$37:$Y$42,5,FALSE)*VLOOKUP($A93,NPV!$B$3:$C$44,2,0)</f>
        <v>0</v>
      </c>
      <c r="Y93" s="86">
        <f t="shared" si="13"/>
        <v>280365.07667899161</v>
      </c>
      <c r="Z93" s="86">
        <f t="shared" si="14"/>
        <v>170891.16925387355</v>
      </c>
      <c r="AB93" s="86">
        <f>$B$11*'Barge - Liquid'!$F$55*'Inputs &amp; Parameters'!$B$45</f>
        <v>1463.4359431952466</v>
      </c>
      <c r="AC93" s="86">
        <f>$B$11*'Barge - Liquid'!$F$55*'Inputs &amp; Parameters'!$B$45*VLOOKUP($A93,NPV!$B$3:$C$44,2,0)</f>
        <v>682.1927275972613</v>
      </c>
      <c r="AD93" s="86">
        <f>$B$11*'Barge - Liquid'!$E$55*'Inputs &amp; Parameters'!$B$44</f>
        <v>28169.18724513644</v>
      </c>
      <c r="AE93" s="86">
        <f>$B$11*'Barge - Liquid'!$E$55*'Inputs &amp; Parameters'!$B$44*VLOOKUP($A93,NPV!$B$3:$C$44,2,0)</f>
        <v>13131.298824736989</v>
      </c>
      <c r="AF93" s="86">
        <f t="shared" si="15"/>
        <v>29632.623188331687</v>
      </c>
      <c r="AG93" s="86">
        <f t="shared" si="16"/>
        <v>13813.49155233425</v>
      </c>
      <c r="AI93" s="16">
        <f t="shared" si="5"/>
        <v>3511530.7902876982</v>
      </c>
      <c r="AJ93" s="16">
        <f t="shared" si="6"/>
        <v>1677125.7002116712</v>
      </c>
    </row>
    <row r="94" spans="1:36" x14ac:dyDescent="0.25">
      <c r="A94" s="88" t="s">
        <v>44</v>
      </c>
      <c r="B94" s="37">
        <f>SUBTOTAL(9,B74:B93)</f>
        <v>5193.3909090909092</v>
      </c>
      <c r="C94" s="37">
        <f>SUBTOTAL(9,C74:C93)</f>
        <v>93481.036363636376</v>
      </c>
      <c r="D94" s="37">
        <f>SUBTOTAL(9,D74:D93)</f>
        <v>681315.01731782709</v>
      </c>
      <c r="F94" s="39">
        <f t="shared" ref="F94:N94" si="17">SUBTOTAL(9,F74:F93)</f>
        <v>40278506.905418776</v>
      </c>
      <c r="G94" s="39">
        <f t="shared" si="17"/>
        <v>25484295.071621418</v>
      </c>
      <c r="H94" s="39">
        <f t="shared" si="17"/>
        <v>20659309.036363639</v>
      </c>
      <c r="I94" s="39">
        <f t="shared" si="17"/>
        <v>13071187.784959229</v>
      </c>
      <c r="J94" s="39">
        <f t="shared" si="17"/>
        <v>866250</v>
      </c>
      <c r="K94" s="39">
        <f t="shared" si="17"/>
        <v>548078.17622510076</v>
      </c>
      <c r="L94" s="39">
        <f t="shared" si="17"/>
        <v>2226595.8666250766</v>
      </c>
      <c r="M94" s="39">
        <f t="shared" si="17"/>
        <v>1408771.8346553768</v>
      </c>
      <c r="N94" s="39">
        <f t="shared" si="17"/>
        <v>64030661.808407471</v>
      </c>
      <c r="O94" s="39">
        <f>SUBTOTAL(9,O74:O93)</f>
        <v>40512332.867461123</v>
      </c>
      <c r="P94" s="40"/>
      <c r="Q94" s="39">
        <f t="shared" ref="Q94:Y94" si="18">SUBTOTAL(9,Q74:Q93)</f>
        <v>4890286.7935595727</v>
      </c>
      <c r="R94" s="39">
        <f t="shared" si="18"/>
        <v>3586219.0401351852</v>
      </c>
      <c r="S94" s="39">
        <f t="shared" si="18"/>
        <v>0</v>
      </c>
      <c r="T94" s="39">
        <f t="shared" si="18"/>
        <v>0</v>
      </c>
      <c r="U94" s="39">
        <f t="shared" si="18"/>
        <v>0</v>
      </c>
      <c r="V94" s="39">
        <f t="shared" si="18"/>
        <v>0</v>
      </c>
      <c r="W94" s="39">
        <f t="shared" si="18"/>
        <v>0</v>
      </c>
      <c r="X94" s="39">
        <f t="shared" si="18"/>
        <v>0</v>
      </c>
      <c r="Y94" s="39">
        <f t="shared" si="18"/>
        <v>4890286.7935595727</v>
      </c>
      <c r="Z94" s="39">
        <f>SUBTOTAL(9,Z74:Z93)</f>
        <v>3586219.0401351852</v>
      </c>
      <c r="AA94" s="1"/>
      <c r="AB94" s="39">
        <f t="shared" ref="AB94:AF94" si="19">SUBTOTAL(9,AB74:AB93)</f>
        <v>29268.718863904938</v>
      </c>
      <c r="AC94" s="39">
        <f t="shared" si="19"/>
        <v>18518.379284703282</v>
      </c>
      <c r="AD94" s="39">
        <f t="shared" si="19"/>
        <v>563383.74490272871</v>
      </c>
      <c r="AE94" s="39">
        <f t="shared" si="19"/>
        <v>356454.06686424819</v>
      </c>
      <c r="AF94" s="39">
        <f t="shared" si="19"/>
        <v>592652.46376663365</v>
      </c>
      <c r="AG94" s="39">
        <f>SUBTOTAL(9,AG74:AG93)</f>
        <v>374972.44614895154</v>
      </c>
      <c r="AH94" s="1"/>
      <c r="AI94" s="39">
        <f>SUBTOTAL(9,AI74:AI93)</f>
        <v>69513601.065733701</v>
      </c>
      <c r="AJ94" s="39">
        <f>SUBTOTAL(9,AJ74:AJ93)</f>
        <v>44473524.353745267</v>
      </c>
    </row>
    <row r="98" spans="1:36" ht="20.25" thickBot="1" x14ac:dyDescent="0.35">
      <c r="A98" s="19" t="s">
        <v>186</v>
      </c>
      <c r="B98" s="76"/>
    </row>
    <row r="99" spans="1:36" ht="15.75" thickTop="1" x14ac:dyDescent="0.25">
      <c r="F99" s="7"/>
      <c r="G99" s="7"/>
      <c r="H99" s="7"/>
    </row>
    <row r="100" spans="1:36" s="74" customFormat="1" ht="45" x14ac:dyDescent="0.25">
      <c r="A100" s="137" t="s">
        <v>80</v>
      </c>
      <c r="B100" s="15" t="s">
        <v>150</v>
      </c>
      <c r="C100" s="15" t="s">
        <v>194</v>
      </c>
      <c r="D100" s="15" t="s">
        <v>195</v>
      </c>
      <c r="F100" s="15" t="s">
        <v>151</v>
      </c>
      <c r="G100" s="15" t="s">
        <v>330</v>
      </c>
      <c r="H100" s="15" t="s">
        <v>226</v>
      </c>
      <c r="I100" s="15" t="s">
        <v>331</v>
      </c>
      <c r="J100" s="15" t="s">
        <v>228</v>
      </c>
      <c r="K100" s="15" t="s">
        <v>332</v>
      </c>
      <c r="L100" s="15" t="s">
        <v>296</v>
      </c>
      <c r="M100" s="15" t="s">
        <v>336</v>
      </c>
      <c r="N100" s="15" t="s">
        <v>44</v>
      </c>
      <c r="O100" s="15" t="s">
        <v>141</v>
      </c>
      <c r="Q100" s="15" t="s">
        <v>94</v>
      </c>
      <c r="R100" s="15" t="s">
        <v>320</v>
      </c>
      <c r="S100" s="15" t="s">
        <v>95</v>
      </c>
      <c r="T100" s="15" t="s">
        <v>335</v>
      </c>
      <c r="U100" s="15" t="s">
        <v>96</v>
      </c>
      <c r="V100" s="15" t="s">
        <v>334</v>
      </c>
      <c r="W100" s="15" t="s">
        <v>97</v>
      </c>
      <c r="X100" s="15" t="s">
        <v>333</v>
      </c>
      <c r="Y100" s="15" t="s">
        <v>44</v>
      </c>
      <c r="Z100" s="15" t="s">
        <v>141</v>
      </c>
      <c r="AB100" s="15" t="s">
        <v>127</v>
      </c>
      <c r="AC100" s="15" t="s">
        <v>328</v>
      </c>
      <c r="AD100" s="15" t="s">
        <v>140</v>
      </c>
      <c r="AE100" s="15" t="s">
        <v>327</v>
      </c>
      <c r="AF100" s="15" t="s">
        <v>44</v>
      </c>
      <c r="AG100" s="15" t="s">
        <v>141</v>
      </c>
      <c r="AI100" s="15" t="s">
        <v>44</v>
      </c>
      <c r="AJ100" s="15" t="s">
        <v>141</v>
      </c>
    </row>
    <row r="101" spans="1:36" x14ac:dyDescent="0.25">
      <c r="A101" s="84">
        <f>B4</f>
        <v>2028</v>
      </c>
      <c r="B101" s="85">
        <f>'Barge - Liquid'!$B$9*12</f>
        <v>259.66954545454547</v>
      </c>
      <c r="C101" s="85">
        <f>B101*'Inputs &amp; Parameters'!$C$20/60</f>
        <v>4674.0518181818188</v>
      </c>
      <c r="D101" s="85">
        <f>B101*'Inputs &amp; Parameters'!$B$20</f>
        <v>34065.750865891372</v>
      </c>
      <c r="E101" s="91"/>
      <c r="F101" s="86">
        <f>(($B$10/$B$21)*'Inputs &amp; Parameters'!$B$7 + ('Barge - Liquid'!$B$68/'Barge - Liquid'!$B$67)*'Barge - Liquid'!$B$69)</f>
        <v>1713925.3452709387</v>
      </c>
      <c r="G101" s="86">
        <f>(($B$10/$B$21)*'Inputs &amp; Parameters'!$B$7 + ('Barge - Liquid'!$B$68/'Barge - Liquid'!$B$67)*'Barge - Liquid'!$B$69)*VLOOKUP(A101,NPV!$B$4:$D$44,2,0)</f>
        <v>1427052.3642578356</v>
      </c>
      <c r="H101" s="86">
        <f>SUM(($B$5-1)*C101*$B$7,1*C101*$B$6)</f>
        <v>1032965.451818182</v>
      </c>
      <c r="I101" s="86">
        <f>SUM(($B$5-1)*C101*$B$7,1*C101*$B$6)*VLOOKUP(A101,NPV!$B$4:$D$44,2,0)</f>
        <v>860070.01079780038</v>
      </c>
      <c r="J101" s="86">
        <f>($B$61*0.25)+($B$63*0.5)</f>
        <v>48125</v>
      </c>
      <c r="K101" s="86">
        <f>($B$61*0.25)+($B$63*0.5)*VLOOKUP(A101,NPV!$B$4:$D$44,2,0)</f>
        <v>41680.956331774461</v>
      </c>
      <c r="L101" s="86">
        <f>(B101*($B$12*$B$8))*($B$13/365)*('Barge - Liquid'!$B$65/24)</f>
        <v>4638.7413888022438</v>
      </c>
      <c r="M101" s="86">
        <f>(B101*($B$12*$B$8))*($B$13/365)*('Barge - Liquid'!$B$65/24)*VLOOKUP(A101,NPV!$B$4:$D$44,2,0)</f>
        <v>3862.3192569828448</v>
      </c>
      <c r="N101" s="86">
        <f>SUM(F101,H101,J101,L101)</f>
        <v>2799654.5384779233</v>
      </c>
      <c r="O101" s="86">
        <f>SUM(G101,I101,K101,M101)</f>
        <v>2332665.6506443932</v>
      </c>
      <c r="P101" s="8"/>
      <c r="Q101" s="86">
        <f>$D101*HLOOKUP($A101,$A$31:$Y$36,2,FALSE)*HLOOKUP($A101,$A$37:$Y$42,2,FALSE)</f>
        <v>211220.98682234844</v>
      </c>
      <c r="R101" s="86">
        <f>$D101*HLOOKUP($A101,$A$31:$Y$36,2,FALSE)*HLOOKUP($A101,$A$37:$Y$42,2,FALSE)*VLOOKUP($A101,NPV!$B$3:$D$44,3,0)</f>
        <v>187558.1916153722</v>
      </c>
      <c r="S101" s="86">
        <f>$D101*HLOOKUP($A101,$A$31:$Y$36,3,FALSE)*HLOOKUP($A101,$A$37:$Y$42,3,FALSE)*VLOOKUP($A101,NPV!$B$3:$C$44,2,0)</f>
        <v>0</v>
      </c>
      <c r="T101" s="86">
        <f>$D101*HLOOKUP($A101,$A$31:$Y$36,3,FALSE)*HLOOKUP($A101,$A$37:$Y$42,3,FALSE)*VLOOKUP($A101,NPV!$B$3:$C$44,2,0)*VLOOKUP($A101,NPV!$B$3:$C$44,2,0)</f>
        <v>0</v>
      </c>
      <c r="U101" s="86">
        <f>$D101*HLOOKUP($A101,$A$31:$Y$36,4,FALSE)*HLOOKUP($A101,$A$37:$Y$42,4,FALSE)</f>
        <v>0</v>
      </c>
      <c r="V101" s="86">
        <f>$D101*HLOOKUP($A101,$A$31:$Y$36,4,FALSE)*HLOOKUP($A101,$A$37:$Y$42,4,FALSE)*VLOOKUP($A101,NPV!$B$3:$C$44,2,0)</f>
        <v>0</v>
      </c>
      <c r="W101" s="86">
        <f>$D101*HLOOKUP($A101,$A$31:$Y$36,5,FALSE)*HLOOKUP($A101,$A$37:$Y$42,5,FALSE)</f>
        <v>0</v>
      </c>
      <c r="X101" s="86">
        <f>$D101*HLOOKUP($A101,$A$31:$Y$36,5,FALSE)*HLOOKUP($A101,$A$37:$Y$42,5,FALSE)*VLOOKUP($A101,NPV!$B$3:$C$44,2,0)</f>
        <v>0</v>
      </c>
      <c r="Y101" s="86">
        <f>SUM(Q101,S101,U101,W101)</f>
        <v>211220.98682234844</v>
      </c>
      <c r="Z101" s="86">
        <f>SUM(R101,T101,V101,X101)</f>
        <v>187558.1916153722</v>
      </c>
      <c r="AB101" s="86">
        <f>$B$11*$F$55*'Inputs &amp; Parameters'!$B$45</f>
        <v>1463.4359431952466</v>
      </c>
      <c r="AC101" s="86">
        <f>$B$11*$F$55*'Inputs &amp; Parameters'!$B$45*VLOOKUP($A101,NPV!$B$3:$C$44,2,0)</f>
        <v>1218.4893166082077</v>
      </c>
      <c r="AD101" s="86">
        <f>$B$11*$E$55*'Inputs &amp; Parameters'!$B$44</f>
        <v>28169.18724513644</v>
      </c>
      <c r="AE101" s="86">
        <f>$B$11*$E$55*'Inputs &amp; Parameters'!$B$44*VLOOKUP($A101,NPV!$B$3:$C$44,2,0)</f>
        <v>23454.291850173293</v>
      </c>
      <c r="AF101" s="86">
        <f>SUM(AB101,AD101)</f>
        <v>29632.623188331687</v>
      </c>
      <c r="AG101" s="86">
        <f>SUM(AC101,AE101)</f>
        <v>24672.7811667815</v>
      </c>
      <c r="AI101" s="86">
        <f t="shared" ref="AI101:AI120" si="20">SUM(N101,Y101,AF101)</f>
        <v>3040508.1484886035</v>
      </c>
      <c r="AJ101" s="86">
        <f t="shared" ref="AJ101:AJ120" si="21">SUM(O101,Z101,AG101)</f>
        <v>2544896.6234265473</v>
      </c>
    </row>
    <row r="102" spans="1:36" x14ac:dyDescent="0.25">
      <c r="A102" s="5">
        <f t="shared" ref="A102:A120" si="22">A101+1</f>
        <v>2029</v>
      </c>
      <c r="B102" s="85">
        <f>'Barge - Liquid'!$B$9*12</f>
        <v>259.66954545454547</v>
      </c>
      <c r="C102" s="10">
        <f>B102*'Inputs &amp; Parameters'!$C$20/60</f>
        <v>4674.0518181818188</v>
      </c>
      <c r="D102" s="10">
        <f>B102*'Inputs &amp; Parameters'!$B$20</f>
        <v>34065.750865891372</v>
      </c>
      <c r="F102" s="86">
        <f>(($B$10/$B$21)*'Inputs &amp; Parameters'!$B$7 + ('Barge - Liquid'!$B$68/'Barge - Liquid'!$B$67)*'Barge - Liquid'!$B$69)</f>
        <v>1713925.3452709387</v>
      </c>
      <c r="G102" s="86">
        <f>(($B$10/$B$21)*'Inputs &amp; Parameters'!$B$7 + ('Barge - Liquid'!$B$68/'Barge - Liquid'!$B$67)*'Barge - Liquid'!$B$69)*VLOOKUP(A102,NPV!$B$4:$D$44,2,0)</f>
        <v>1384143.9032568729</v>
      </c>
      <c r="H102" s="86">
        <f t="shared" ref="H102:H120" si="23">SUM(($B$5-1)*C102*$B$7,1*C102*$B$6)</f>
        <v>1032965.451818182</v>
      </c>
      <c r="I102" s="86">
        <f>SUM(($B$5-1)*C102*$B$7,1*C102*$B$6)*VLOOKUP(A102,NPV!$B$4:$D$44,2,0)</f>
        <v>834209.51580775995</v>
      </c>
      <c r="J102" s="86">
        <f t="shared" ref="J102:J120" si="24">($B$61*0.25)+($B$63*0.5)</f>
        <v>48125</v>
      </c>
      <c r="K102" s="86">
        <f>($B$61*0.25)+($B$63*0.5)*VLOOKUP(A102,NPV!$B$4:$D$44,2,0)</f>
        <v>40717.101194737596</v>
      </c>
      <c r="L102" s="86">
        <f>(B102*($B$12*$B$8))*($B$13/365)*('Barge - Liquid'!$B$65/24)</f>
        <v>4638.7413888022438</v>
      </c>
      <c r="M102" s="86">
        <f>(B102*($B$12*$B$8))*($B$13/365)*('Barge - Liquid'!$B$65/24)*VLOOKUP(A102,NPV!$B$4:$D$44,2,0)</f>
        <v>3746.1874461521297</v>
      </c>
      <c r="N102" s="86">
        <f t="shared" ref="N102:N120" si="25">SUM(F102,H102,J102,L102)</f>
        <v>2799654.5384779233</v>
      </c>
      <c r="O102" s="86">
        <f t="shared" ref="O102:O120" si="26">SUM(G102,I102,K102,M102)</f>
        <v>2262816.7077055224</v>
      </c>
      <c r="P102" s="8"/>
      <c r="Q102" s="86">
        <f t="shared" ref="Q102:Q120" si="27">$D102*HLOOKUP($A102,$A$31:$Y$36,2,FALSE)*HLOOKUP($A102,$A$37:$Y$42,2,FALSE)</f>
        <v>214062.52476166253</v>
      </c>
      <c r="R102" s="86">
        <f>$D102*HLOOKUP($A102,$A$31:$Y$36,2,FALSE)*HLOOKUP($A102,$A$37:$Y$42,2,FALSE)*VLOOKUP($A102,NPV!$B$3:$D$44,3,0)</f>
        <v>186354.3097910583</v>
      </c>
      <c r="S102" s="86">
        <f>$D102*HLOOKUP($A102,$A$31:$Y$36,3,FALSE)*HLOOKUP($A102,$A$37:$Y$42,3,FALSE)*VLOOKUP($A102,NPV!$B$3:$C$44,2,0)</f>
        <v>0</v>
      </c>
      <c r="T102" s="86">
        <f>$D102*HLOOKUP($A102,$A$31:$Y$36,3,FALSE)*HLOOKUP($A102,$A$37:$Y$42,3,FALSE)*VLOOKUP($A102,NPV!$B$3:$C$44,2,0)*VLOOKUP($A102,NPV!$B$3:$C$44,2,0)</f>
        <v>0</v>
      </c>
      <c r="U102" s="86">
        <f t="shared" ref="U102:U120" si="28">$D102*HLOOKUP($A102,$A$31:$Y$36,4,FALSE)*HLOOKUP($A102,$A$37:$Y$42,4,FALSE)</f>
        <v>0</v>
      </c>
      <c r="V102" s="86">
        <f>$D102*HLOOKUP($A102,$A$31:$Y$36,4,FALSE)*HLOOKUP($A102,$A$37:$Y$42,4,FALSE)*VLOOKUP($A102,NPV!$B$3:$C$44,2,0)</f>
        <v>0</v>
      </c>
      <c r="W102" s="86">
        <f t="shared" ref="W102:W120" si="29">$D102*HLOOKUP($A102,$A$31:$Y$36,5,FALSE)*HLOOKUP($A102,$A$37:$Y$42,5,FALSE)</f>
        <v>0</v>
      </c>
      <c r="X102" s="86">
        <f>$D102*HLOOKUP($A102,$A$31:$Y$36,5,FALSE)*HLOOKUP($A102,$A$37:$Y$42,5,FALSE)*VLOOKUP($A102,NPV!$B$3:$C$44,2,0)</f>
        <v>0</v>
      </c>
      <c r="Y102" s="86">
        <f t="shared" ref="Y102:Y120" si="30">SUM(Q102,S102,U102,W102)</f>
        <v>214062.52476166253</v>
      </c>
      <c r="Z102" s="86">
        <f t="shared" ref="Z102:Z120" si="31">SUM(R102,T102,V102,X102)</f>
        <v>186354.3097910583</v>
      </c>
      <c r="AB102" s="86">
        <f>$B$11*$F$55*'Inputs &amp; Parameters'!$B$45</f>
        <v>1463.4359431952466</v>
      </c>
      <c r="AC102" s="86">
        <f>$B$11*$F$55*'Inputs &amp; Parameters'!$B$45*VLOOKUP($A102,NPV!$B$3:$C$44,2,0)</f>
        <v>1181.8519074764381</v>
      </c>
      <c r="AD102" s="86">
        <f>$B$11*$E$55*'Inputs &amp; Parameters'!$B$44</f>
        <v>28169.18724513644</v>
      </c>
      <c r="AE102" s="86">
        <f>$B$11*$E$55*'Inputs &amp; Parameters'!$B$44*VLOOKUP($A102,NPV!$B$3:$C$44,2,0)</f>
        <v>22749.070659721918</v>
      </c>
      <c r="AF102" s="86">
        <f t="shared" ref="AF102:AF120" si="32">SUM(AB102,AD102)</f>
        <v>29632.623188331687</v>
      </c>
      <c r="AG102" s="86">
        <f t="shared" ref="AG102:AG120" si="33">SUM(AC102,AE102)</f>
        <v>23930.922567198355</v>
      </c>
      <c r="AI102" s="16">
        <f t="shared" si="20"/>
        <v>3043349.6864279173</v>
      </c>
      <c r="AJ102" s="16">
        <f t="shared" si="21"/>
        <v>2473101.9400637792</v>
      </c>
    </row>
    <row r="103" spans="1:36" x14ac:dyDescent="0.25">
      <c r="A103" s="5">
        <f t="shared" si="22"/>
        <v>2030</v>
      </c>
      <c r="B103" s="85">
        <f>'Barge - Liquid'!$B$9*12</f>
        <v>259.66954545454547</v>
      </c>
      <c r="C103" s="10">
        <f>B103*'Inputs &amp; Parameters'!$C$20/60</f>
        <v>4674.0518181818188</v>
      </c>
      <c r="D103" s="10">
        <f>B103*'Inputs &amp; Parameters'!$B$20</f>
        <v>34065.750865891372</v>
      </c>
      <c r="F103" s="86">
        <f>(($B$10/$B$21)*'Inputs &amp; Parameters'!$B$7 + ('Barge - Liquid'!$B$68/'Barge - Liquid'!$B$67)*'Barge - Liquid'!$B$69)</f>
        <v>1713925.3452709387</v>
      </c>
      <c r="G103" s="86">
        <f>(($B$10/$B$21)*'Inputs &amp; Parameters'!$B$7 + ('Barge - Liquid'!$B$68/'Barge - Liquid'!$B$67)*'Barge - Liquid'!$B$69)*VLOOKUP(A103,NPV!$B$4:$D$44,2,0)</f>
        <v>1342525.609366511</v>
      </c>
      <c r="H103" s="86">
        <f t="shared" si="23"/>
        <v>1032965.451818182</v>
      </c>
      <c r="I103" s="86">
        <f>SUM(($B$5-1)*C103*$B$7,1*C103*$B$6)*VLOOKUP(A103,NPV!$B$4:$D$44,2,0)</f>
        <v>809126.5914721241</v>
      </c>
      <c r="J103" s="86">
        <f t="shared" si="24"/>
        <v>48125</v>
      </c>
      <c r="K103" s="86">
        <f>($B$61*0.25)+($B$63*0.5)*VLOOKUP(A103,NPV!$B$4:$D$44,2,0)</f>
        <v>39782.227152994761</v>
      </c>
      <c r="L103" s="86">
        <f>(B103*($B$12*$B$8))*($B$13/365)*('Barge - Liquid'!$B$65/24)</f>
        <v>4638.7413888022438</v>
      </c>
      <c r="M103" s="86">
        <f>(B103*($B$12*$B$8))*($B$13/365)*('Barge - Liquid'!$B$65/24)*VLOOKUP(A103,NPV!$B$4:$D$44,2,0)</f>
        <v>3633.5474744443545</v>
      </c>
      <c r="N103" s="86">
        <f t="shared" si="25"/>
        <v>2799654.5384779233</v>
      </c>
      <c r="O103" s="86">
        <f t="shared" si="26"/>
        <v>2195067.9754660744</v>
      </c>
      <c r="P103" s="8"/>
      <c r="Q103" s="86">
        <f t="shared" si="27"/>
        <v>217851.24201408133</v>
      </c>
      <c r="R103" s="86">
        <f>$D103*HLOOKUP($A103,$A$31:$Y$36,2,FALSE)*HLOOKUP($A103,$A$37:$Y$42,2,FALSE)*VLOOKUP($A103,NPV!$B$3:$D$44,3,0)</f>
        <v>185933.93741082511</v>
      </c>
      <c r="S103" s="86">
        <f>$D103*HLOOKUP($A103,$A$31:$Y$36,3,FALSE)*HLOOKUP($A103,$A$37:$Y$42,3,FALSE)*VLOOKUP($A103,NPV!$B$3:$C$44,2,0)</f>
        <v>0</v>
      </c>
      <c r="T103" s="86">
        <f>$D103*HLOOKUP($A103,$A$31:$Y$36,3,FALSE)*HLOOKUP($A103,$A$37:$Y$42,3,FALSE)*VLOOKUP($A103,NPV!$B$3:$C$44,2,0)*VLOOKUP($A103,NPV!$B$3:$C$44,2,0)</f>
        <v>0</v>
      </c>
      <c r="U103" s="86">
        <f t="shared" si="28"/>
        <v>0</v>
      </c>
      <c r="V103" s="86">
        <f>$D103*HLOOKUP($A103,$A$31:$Y$36,4,FALSE)*HLOOKUP($A103,$A$37:$Y$42,4,FALSE)*VLOOKUP($A103,NPV!$B$3:$C$44,2,0)</f>
        <v>0</v>
      </c>
      <c r="W103" s="86">
        <f t="shared" si="29"/>
        <v>0</v>
      </c>
      <c r="X103" s="86">
        <f>$D103*HLOOKUP($A103,$A$31:$Y$36,5,FALSE)*HLOOKUP($A103,$A$37:$Y$42,5,FALSE)*VLOOKUP($A103,NPV!$B$3:$C$44,2,0)</f>
        <v>0</v>
      </c>
      <c r="Y103" s="86">
        <f t="shared" si="30"/>
        <v>217851.24201408133</v>
      </c>
      <c r="Z103" s="86">
        <f t="shared" si="31"/>
        <v>185933.93741082511</v>
      </c>
      <c r="AB103" s="86">
        <f>$B$11*$F$55*'Inputs &amp; Parameters'!$B$45</f>
        <v>1463.4359431952466</v>
      </c>
      <c r="AC103" s="86">
        <f>$B$11*$F$55*'Inputs &amp; Parameters'!$B$45*VLOOKUP($A103,NPV!$B$3:$C$44,2,0)</f>
        <v>1146.3161081245764</v>
      </c>
      <c r="AD103" s="86">
        <f>$B$11*$E$55*'Inputs &amp; Parameters'!$B$44</f>
        <v>28169.18724513644</v>
      </c>
      <c r="AE103" s="86">
        <f>$B$11*$E$55*'Inputs &amp; Parameters'!$B$44*VLOOKUP($A103,NPV!$B$3:$C$44,2,0)</f>
        <v>22065.05398615123</v>
      </c>
      <c r="AF103" s="86">
        <f t="shared" si="32"/>
        <v>29632.623188331687</v>
      </c>
      <c r="AG103" s="86">
        <f t="shared" si="33"/>
        <v>23211.370094275808</v>
      </c>
      <c r="AI103" s="16">
        <f t="shared" si="20"/>
        <v>3047138.4036803362</v>
      </c>
      <c r="AJ103" s="16">
        <f t="shared" si="21"/>
        <v>2404213.2829711754</v>
      </c>
    </row>
    <row r="104" spans="1:36" x14ac:dyDescent="0.25">
      <c r="A104" s="5">
        <f t="shared" si="22"/>
        <v>2031</v>
      </c>
      <c r="B104" s="85">
        <f>'Barge - Liquid'!$B$9*12</f>
        <v>259.66954545454547</v>
      </c>
      <c r="C104" s="10">
        <f>B104*'Inputs &amp; Parameters'!$C$20/60</f>
        <v>4674.0518181818188</v>
      </c>
      <c r="D104" s="10">
        <f>B104*'Inputs &amp; Parameters'!$B$20</f>
        <v>34065.750865891372</v>
      </c>
      <c r="F104" s="86">
        <f>(($B$10/$B$21)*'Inputs &amp; Parameters'!$B$7 + ('Barge - Liquid'!$B$68/'Barge - Liquid'!$B$67)*'Barge - Liquid'!$B$69)</f>
        <v>1713925.3452709387</v>
      </c>
      <c r="G104" s="86">
        <f>(($B$10/$B$21)*'Inputs &amp; Parameters'!$B$7 + ('Barge - Liquid'!$B$68/'Barge - Liquid'!$B$67)*'Barge - Liquid'!$B$69)*VLOOKUP(A104,NPV!$B$4:$D$44,2,0)</f>
        <v>1302158.6899772175</v>
      </c>
      <c r="H104" s="86">
        <f t="shared" si="23"/>
        <v>1032965.451818182</v>
      </c>
      <c r="I104" s="86">
        <f>SUM(($B$5-1)*C104*$B$7,1*C104*$B$6)*VLOOKUP(A104,NPV!$B$4:$D$44,2,0)</f>
        <v>784797.85787790909</v>
      </c>
      <c r="J104" s="86">
        <f t="shared" si="24"/>
        <v>48125</v>
      </c>
      <c r="K104" s="86">
        <f>($B$61*0.25)+($B$63*0.5)*VLOOKUP(A104,NPV!$B$4:$D$44,2,0)</f>
        <v>38875.462806008502</v>
      </c>
      <c r="L104" s="86">
        <f>(B104*($B$12*$B$8))*($B$13/365)*('Barge - Liquid'!$B$65/24)</f>
        <v>4638.7413888022438</v>
      </c>
      <c r="M104" s="86">
        <f>(B104*($B$12*$B$8))*($B$13/365)*('Barge - Liquid'!$B$65/24)*VLOOKUP(A104,NPV!$B$4:$D$44,2,0)</f>
        <v>3524.2943496065518</v>
      </c>
      <c r="N104" s="86">
        <f t="shared" si="25"/>
        <v>2799654.5384779233</v>
      </c>
      <c r="O104" s="86">
        <f t="shared" si="26"/>
        <v>2129356.3050107416</v>
      </c>
      <c r="P104" s="8"/>
      <c r="Q104" s="86">
        <f t="shared" si="27"/>
        <v>221639.95926650014</v>
      </c>
      <c r="R104" s="86">
        <f>$D104*HLOOKUP($A104,$A$31:$Y$36,2,FALSE)*HLOOKUP($A104,$A$37:$Y$42,2,FALSE)*VLOOKUP($A104,NPV!$B$3:$D$44,3,0)</f>
        <v>185458.40304404552</v>
      </c>
      <c r="S104" s="86">
        <f>$D104*HLOOKUP($A104,$A$31:$Y$36,3,FALSE)*HLOOKUP($A104,$A$37:$Y$42,3,FALSE)*VLOOKUP($A104,NPV!$B$3:$C$44,2,0)</f>
        <v>0</v>
      </c>
      <c r="T104" s="86">
        <f>$D104*HLOOKUP($A104,$A$31:$Y$36,3,FALSE)*HLOOKUP($A104,$A$37:$Y$42,3,FALSE)*VLOOKUP($A104,NPV!$B$3:$C$44,2,0)*VLOOKUP($A104,NPV!$B$3:$C$44,2,0)</f>
        <v>0</v>
      </c>
      <c r="U104" s="86">
        <f t="shared" si="28"/>
        <v>0</v>
      </c>
      <c r="V104" s="86">
        <f>$D104*HLOOKUP($A104,$A$31:$Y$36,4,FALSE)*HLOOKUP($A104,$A$37:$Y$42,4,FALSE)*VLOOKUP($A104,NPV!$B$3:$C$44,2,0)</f>
        <v>0</v>
      </c>
      <c r="W104" s="86">
        <f t="shared" si="29"/>
        <v>0</v>
      </c>
      <c r="X104" s="86">
        <f>$D104*HLOOKUP($A104,$A$31:$Y$36,5,FALSE)*HLOOKUP($A104,$A$37:$Y$42,5,FALSE)*VLOOKUP($A104,NPV!$B$3:$C$44,2,0)</f>
        <v>0</v>
      </c>
      <c r="Y104" s="86">
        <f t="shared" si="30"/>
        <v>221639.95926650014</v>
      </c>
      <c r="Z104" s="86">
        <f t="shared" si="31"/>
        <v>185458.40304404552</v>
      </c>
      <c r="AB104" s="86">
        <f>$B$11*$F$55*'Inputs &amp; Parameters'!$B$45</f>
        <v>1463.4359431952466</v>
      </c>
      <c r="AC104" s="86">
        <f>$B$11*$F$55*'Inputs &amp; Parameters'!$B$45*VLOOKUP($A104,NPV!$B$3:$C$44,2,0)</f>
        <v>1111.8487954651566</v>
      </c>
      <c r="AD104" s="86">
        <f>$B$11*$E$55*'Inputs &amp; Parameters'!$B$44</f>
        <v>28169.18724513644</v>
      </c>
      <c r="AE104" s="86">
        <f>$B$11*$E$55*'Inputs &amp; Parameters'!$B$44*VLOOKUP($A104,NPV!$B$3:$C$44,2,0)</f>
        <v>21401.604254268896</v>
      </c>
      <c r="AF104" s="86">
        <f t="shared" si="32"/>
        <v>29632.623188331687</v>
      </c>
      <c r="AG104" s="86">
        <f t="shared" si="33"/>
        <v>22513.453049734053</v>
      </c>
      <c r="AI104" s="16">
        <f t="shared" si="20"/>
        <v>3050927.1209327551</v>
      </c>
      <c r="AJ104" s="16">
        <f t="shared" si="21"/>
        <v>2337328.1611045212</v>
      </c>
    </row>
    <row r="105" spans="1:36" x14ac:dyDescent="0.25">
      <c r="A105" s="5">
        <f t="shared" si="22"/>
        <v>2032</v>
      </c>
      <c r="B105" s="85">
        <f>'Barge - Liquid'!$B$9*12</f>
        <v>259.66954545454547</v>
      </c>
      <c r="C105" s="10">
        <f>B105*'Inputs &amp; Parameters'!$C$20/60</f>
        <v>4674.0518181818188</v>
      </c>
      <c r="D105" s="10">
        <f>B105*'Inputs &amp; Parameters'!$B$20</f>
        <v>34065.750865891372</v>
      </c>
      <c r="F105" s="86">
        <f>(($B$10/$B$21)*'Inputs &amp; Parameters'!$B$7 + ('Barge - Liquid'!$B$68/'Barge - Liquid'!$B$67)*'Barge - Liquid'!$B$69)</f>
        <v>1713925.3452709387</v>
      </c>
      <c r="G105" s="86">
        <f>(($B$10/$B$21)*'Inputs &amp; Parameters'!$B$7 + ('Barge - Liquid'!$B$68/'Barge - Liquid'!$B$67)*'Barge - Liquid'!$B$69)*VLOOKUP(A105,NPV!$B$4:$D$44,2,0)</f>
        <v>1263005.5188915785</v>
      </c>
      <c r="H105" s="86">
        <f t="shared" si="23"/>
        <v>1032965.451818182</v>
      </c>
      <c r="I105" s="86">
        <f>SUM(($B$5-1)*C105*$B$7,1*C105*$B$6)*VLOOKUP(A105,NPV!$B$4:$D$44,2,0)</f>
        <v>761200.63809690508</v>
      </c>
      <c r="J105" s="86">
        <f t="shared" si="24"/>
        <v>48125</v>
      </c>
      <c r="K105" s="86">
        <f>($B$61*0.25)+($B$63*0.5)*VLOOKUP(A105,NPV!$B$4:$D$44,2,0)</f>
        <v>37995.96295442144</v>
      </c>
      <c r="L105" s="86">
        <f>(B105*($B$12*$B$8))*($B$13/365)*('Barge - Liquid'!$B$65/24)</f>
        <v>4638.7413888022438</v>
      </c>
      <c r="M105" s="86">
        <f>(B105*($B$12*$B$8))*($B$13/365)*('Barge - Liquid'!$B$65/24)*VLOOKUP(A105,NPV!$B$4:$D$44,2,0)</f>
        <v>3418.3262362818159</v>
      </c>
      <c r="N105" s="86">
        <f t="shared" si="25"/>
        <v>2799654.5384779233</v>
      </c>
      <c r="O105" s="86">
        <f t="shared" si="26"/>
        <v>2065620.4461791869</v>
      </c>
      <c r="P105" s="8"/>
      <c r="Q105" s="86">
        <f t="shared" si="27"/>
        <v>224481.49720581426</v>
      </c>
      <c r="R105" s="86">
        <f>$D105*HLOOKUP($A105,$A$31:$Y$36,2,FALSE)*HLOOKUP($A105,$A$37:$Y$42,2,FALSE)*VLOOKUP($A105,NPV!$B$3:$D$44,3,0)</f>
        <v>184153.01458621916</v>
      </c>
      <c r="S105" s="86">
        <f>$D105*HLOOKUP($A105,$A$31:$Y$36,3,FALSE)*HLOOKUP($A105,$A$37:$Y$42,3,FALSE)*VLOOKUP($A105,NPV!$B$3:$C$44,2,0)</f>
        <v>0</v>
      </c>
      <c r="T105" s="86">
        <f>$D105*HLOOKUP($A105,$A$31:$Y$36,3,FALSE)*HLOOKUP($A105,$A$37:$Y$42,3,FALSE)*VLOOKUP($A105,NPV!$B$3:$C$44,2,0)*VLOOKUP($A105,NPV!$B$3:$C$44,2,0)</f>
        <v>0</v>
      </c>
      <c r="U105" s="86">
        <f t="shared" si="28"/>
        <v>0</v>
      </c>
      <c r="V105" s="86">
        <f>$D105*HLOOKUP($A105,$A$31:$Y$36,4,FALSE)*HLOOKUP($A105,$A$37:$Y$42,4,FALSE)*VLOOKUP($A105,NPV!$B$3:$C$44,2,0)</f>
        <v>0</v>
      </c>
      <c r="W105" s="86">
        <f t="shared" si="29"/>
        <v>0</v>
      </c>
      <c r="X105" s="86">
        <f>$D105*HLOOKUP($A105,$A$31:$Y$36,5,FALSE)*HLOOKUP($A105,$A$37:$Y$42,5,FALSE)*VLOOKUP($A105,NPV!$B$3:$C$44,2,0)</f>
        <v>0</v>
      </c>
      <c r="Y105" s="86">
        <f t="shared" si="30"/>
        <v>224481.49720581426</v>
      </c>
      <c r="Z105" s="86">
        <f t="shared" si="31"/>
        <v>184153.01458621916</v>
      </c>
      <c r="AB105" s="86">
        <f>$B$11*$F$55*'Inputs &amp; Parameters'!$B$45</f>
        <v>1463.4359431952466</v>
      </c>
      <c r="AC105" s="86">
        <f>$B$11*$F$55*'Inputs &amp; Parameters'!$B$45*VLOOKUP($A105,NPV!$B$3:$C$44,2,0)</f>
        <v>1078.4178423522374</v>
      </c>
      <c r="AD105" s="86">
        <f>$B$11*$E$55*'Inputs &amp; Parameters'!$B$44</f>
        <v>28169.18724513644</v>
      </c>
      <c r="AE105" s="86">
        <f>$B$11*$E$55*'Inputs &amp; Parameters'!$B$44*VLOOKUP($A105,NPV!$B$3:$C$44,2,0)</f>
        <v>20758.10305942667</v>
      </c>
      <c r="AF105" s="86">
        <f t="shared" si="32"/>
        <v>29632.623188331687</v>
      </c>
      <c r="AG105" s="86">
        <f t="shared" si="33"/>
        <v>21836.520901778909</v>
      </c>
      <c r="AI105" s="16">
        <f t="shared" si="20"/>
        <v>3053768.6588720693</v>
      </c>
      <c r="AJ105" s="16">
        <f t="shared" si="21"/>
        <v>2271609.9816671847</v>
      </c>
    </row>
    <row r="106" spans="1:36" x14ac:dyDescent="0.25">
      <c r="A106" s="5">
        <f t="shared" si="22"/>
        <v>2033</v>
      </c>
      <c r="B106" s="85">
        <f>'Barge - Liquid'!$B$9*12</f>
        <v>259.66954545454547</v>
      </c>
      <c r="C106" s="10">
        <f>B106*'Inputs &amp; Parameters'!$C$20/60</f>
        <v>4674.0518181818188</v>
      </c>
      <c r="D106" s="10">
        <f>B106*'Inputs &amp; Parameters'!$B$20</f>
        <v>34065.750865891372</v>
      </c>
      <c r="F106" s="86">
        <f>(($B$10/$B$21)*'Inputs &amp; Parameters'!$B$7 + ('Barge - Liquid'!$B$68/'Barge - Liquid'!$B$67)*'Barge - Liquid'!$B$69)</f>
        <v>1713925.3452709387</v>
      </c>
      <c r="G106" s="86">
        <f>(($B$10/$B$21)*'Inputs &amp; Parameters'!$B$7 + ('Barge - Liquid'!$B$68/'Barge - Liquid'!$B$67)*'Barge - Liquid'!$B$69)*VLOOKUP(A106,NPV!$B$4:$D$44,2,0)</f>
        <v>1225029.6012527435</v>
      </c>
      <c r="H106" s="86">
        <f t="shared" si="23"/>
        <v>1032965.451818182</v>
      </c>
      <c r="I106" s="86">
        <f>SUM(($B$5-1)*C106*$B$7,1*C106*$B$6)*VLOOKUP(A106,NPV!$B$4:$D$44,2,0)</f>
        <v>738312.93704840459</v>
      </c>
      <c r="J106" s="86">
        <f t="shared" si="24"/>
        <v>48125</v>
      </c>
      <c r="K106" s="86">
        <f>($B$61*0.25)+($B$63*0.5)*VLOOKUP(A106,NPV!$B$4:$D$44,2,0)</f>
        <v>37142.907812241945</v>
      </c>
      <c r="L106" s="86">
        <f>(B106*($B$12*$B$8))*($B$13/365)*('Barge - Liquid'!$B$65/24)</f>
        <v>4638.7413888022438</v>
      </c>
      <c r="M106" s="86">
        <f>(B106*($B$12*$B$8))*($B$13/365)*('Barge - Liquid'!$B$65/24)*VLOOKUP(A106,NPV!$B$4:$D$44,2,0)</f>
        <v>3315.5443610880857</v>
      </c>
      <c r="N106" s="86">
        <f t="shared" si="25"/>
        <v>2799654.5384779233</v>
      </c>
      <c r="O106" s="86">
        <f t="shared" si="26"/>
        <v>2003800.9904744781</v>
      </c>
      <c r="P106" s="8"/>
      <c r="Q106" s="86">
        <f t="shared" si="27"/>
        <v>228270.21445823307</v>
      </c>
      <c r="R106" s="86">
        <f>$D106*HLOOKUP($A106,$A$31:$Y$36,2,FALSE)*HLOOKUP($A106,$A$37:$Y$42,2,FALSE)*VLOOKUP($A106,NPV!$B$3:$D$44,3,0)</f>
        <v>183589.29641465552</v>
      </c>
      <c r="S106" s="86">
        <f>$D106*HLOOKUP($A106,$A$31:$Y$36,3,FALSE)*HLOOKUP($A106,$A$37:$Y$42,3,FALSE)*VLOOKUP($A106,NPV!$B$3:$C$44,2,0)</f>
        <v>0</v>
      </c>
      <c r="T106" s="86">
        <f>$D106*HLOOKUP($A106,$A$31:$Y$36,3,FALSE)*HLOOKUP($A106,$A$37:$Y$42,3,FALSE)*VLOOKUP($A106,NPV!$B$3:$C$44,2,0)*VLOOKUP($A106,NPV!$B$3:$C$44,2,0)</f>
        <v>0</v>
      </c>
      <c r="U106" s="86">
        <f t="shared" si="28"/>
        <v>0</v>
      </c>
      <c r="V106" s="86">
        <f>$D106*HLOOKUP($A106,$A$31:$Y$36,4,FALSE)*HLOOKUP($A106,$A$37:$Y$42,4,FALSE)*VLOOKUP($A106,NPV!$B$3:$C$44,2,0)</f>
        <v>0</v>
      </c>
      <c r="W106" s="86">
        <f t="shared" si="29"/>
        <v>0</v>
      </c>
      <c r="X106" s="86">
        <f>$D106*HLOOKUP($A106,$A$31:$Y$36,5,FALSE)*HLOOKUP($A106,$A$37:$Y$42,5,FALSE)*VLOOKUP($A106,NPV!$B$3:$C$44,2,0)</f>
        <v>0</v>
      </c>
      <c r="Y106" s="86">
        <f t="shared" si="30"/>
        <v>228270.21445823307</v>
      </c>
      <c r="Z106" s="86">
        <f t="shared" si="31"/>
        <v>183589.29641465552</v>
      </c>
      <c r="AB106" s="86">
        <f>$B$11*$F$55*'Inputs &amp; Parameters'!$B$45</f>
        <v>1463.4359431952466</v>
      </c>
      <c r="AC106" s="86">
        <f>$B$11*$F$55*'Inputs &amp; Parameters'!$B$45*VLOOKUP($A106,NPV!$B$3:$C$44,2,0)</f>
        <v>1045.9920876355359</v>
      </c>
      <c r="AD106" s="86">
        <f>$B$11*$E$55*'Inputs &amp; Parameters'!$B$44</f>
        <v>28169.18724513644</v>
      </c>
      <c r="AE106" s="86">
        <f>$B$11*$E$55*'Inputs &amp; Parameters'!$B$44*VLOOKUP($A106,NPV!$B$3:$C$44,2,0)</f>
        <v>20133.950591102493</v>
      </c>
      <c r="AF106" s="86">
        <f t="shared" si="32"/>
        <v>29632.623188331687</v>
      </c>
      <c r="AG106" s="86">
        <f t="shared" si="33"/>
        <v>21179.942678738029</v>
      </c>
      <c r="AI106" s="16">
        <f t="shared" si="20"/>
        <v>3057557.3761244882</v>
      </c>
      <c r="AJ106" s="16">
        <f t="shared" si="21"/>
        <v>2208570.2295678714</v>
      </c>
    </row>
    <row r="107" spans="1:36" x14ac:dyDescent="0.25">
      <c r="A107" s="5">
        <f t="shared" si="22"/>
        <v>2034</v>
      </c>
      <c r="B107" s="85">
        <f>'Barge - Liquid'!$B$9*12</f>
        <v>259.66954545454547</v>
      </c>
      <c r="C107" s="10">
        <f>B107*'Inputs &amp; Parameters'!$C$20/60</f>
        <v>4674.0518181818188</v>
      </c>
      <c r="D107" s="10">
        <f>B107*'Inputs &amp; Parameters'!$B$20</f>
        <v>34065.750865891372</v>
      </c>
      <c r="F107" s="86">
        <f>(($B$10/$B$21)*'Inputs &amp; Parameters'!$B$7 + ('Barge - Liquid'!$B$68/'Barge - Liquid'!$B$67)*'Barge - Liquid'!$B$69)</f>
        <v>1713925.3452709387</v>
      </c>
      <c r="G107" s="86">
        <f>(($B$10/$B$21)*'Inputs &amp; Parameters'!$B$7 + ('Barge - Liquid'!$B$68/'Barge - Liquid'!$B$67)*'Barge - Liquid'!$B$69)*VLOOKUP(A107,NPV!$B$4:$D$44,2,0)</f>
        <v>1188195.5395273943</v>
      </c>
      <c r="H107" s="86">
        <f t="shared" si="23"/>
        <v>1032965.451818182</v>
      </c>
      <c r="I107" s="86">
        <f>SUM(($B$5-1)*C107*$B$7,1*C107*$B$6)*VLOOKUP(A107,NPV!$B$4:$D$44,2,0)</f>
        <v>716113.42099748261</v>
      </c>
      <c r="J107" s="86">
        <f t="shared" si="24"/>
        <v>48125</v>
      </c>
      <c r="K107" s="86">
        <f>($B$61*0.25)+($B$63*0.5)*VLOOKUP(A107,NPV!$B$4:$D$44,2,0)</f>
        <v>36315.502242717688</v>
      </c>
      <c r="L107" s="86">
        <f>(B107*($B$12*$B$8))*($B$13/365)*('Barge - Liquid'!$B$65/24)</f>
        <v>4638.7413888022438</v>
      </c>
      <c r="M107" s="86">
        <f>(B107*($B$12*$B$8))*($B$13/365)*('Barge - Liquid'!$B$65/24)*VLOOKUP(A107,NPV!$B$4:$D$44,2,0)</f>
        <v>3215.8529205510044</v>
      </c>
      <c r="N107" s="86">
        <f t="shared" si="25"/>
        <v>2799654.5384779233</v>
      </c>
      <c r="O107" s="86">
        <f t="shared" si="26"/>
        <v>1943840.3156881458</v>
      </c>
      <c r="P107" s="8"/>
      <c r="Q107" s="86">
        <f t="shared" si="27"/>
        <v>232058.93171065184</v>
      </c>
      <c r="R107" s="86">
        <f>$D107*HLOOKUP($A107,$A$31:$Y$36,2,FALSE)*HLOOKUP($A107,$A$37:$Y$42,2,FALSE)*VLOOKUP($A107,NPV!$B$3:$D$44,3,0)</f>
        <v>182976.88398661863</v>
      </c>
      <c r="S107" s="86">
        <f>$D107*HLOOKUP($A107,$A$31:$Y$36,3,FALSE)*HLOOKUP($A107,$A$37:$Y$42,3,FALSE)*VLOOKUP($A107,NPV!$B$3:$C$44,2,0)</f>
        <v>0</v>
      </c>
      <c r="T107" s="86">
        <f>$D107*HLOOKUP($A107,$A$31:$Y$36,3,FALSE)*HLOOKUP($A107,$A$37:$Y$42,3,FALSE)*VLOOKUP($A107,NPV!$B$3:$C$44,2,0)*VLOOKUP($A107,NPV!$B$3:$C$44,2,0)</f>
        <v>0</v>
      </c>
      <c r="U107" s="86">
        <f t="shared" si="28"/>
        <v>0</v>
      </c>
      <c r="V107" s="86">
        <f>$D107*HLOOKUP($A107,$A$31:$Y$36,4,FALSE)*HLOOKUP($A107,$A$37:$Y$42,4,FALSE)*VLOOKUP($A107,NPV!$B$3:$C$44,2,0)</f>
        <v>0</v>
      </c>
      <c r="W107" s="86">
        <f t="shared" si="29"/>
        <v>0</v>
      </c>
      <c r="X107" s="86">
        <f>$D107*HLOOKUP($A107,$A$31:$Y$36,5,FALSE)*HLOOKUP($A107,$A$37:$Y$42,5,FALSE)*VLOOKUP($A107,NPV!$B$3:$C$44,2,0)</f>
        <v>0</v>
      </c>
      <c r="Y107" s="86">
        <f t="shared" si="30"/>
        <v>232058.93171065184</v>
      </c>
      <c r="Z107" s="86">
        <f t="shared" si="31"/>
        <v>182976.88398661863</v>
      </c>
      <c r="AB107" s="86">
        <f>$B$11*$F$55*'Inputs &amp; Parameters'!$B$45</f>
        <v>1463.4359431952466</v>
      </c>
      <c r="AC107" s="86">
        <f>$B$11*$F$55*'Inputs &amp; Parameters'!$B$45*VLOOKUP($A107,NPV!$B$3:$C$44,2,0)</f>
        <v>1014.5413071149717</v>
      </c>
      <c r="AD107" s="86">
        <f>$B$11*$E$55*'Inputs &amp; Parameters'!$B$44</f>
        <v>28169.18724513644</v>
      </c>
      <c r="AE107" s="86">
        <f>$B$11*$E$55*'Inputs &amp; Parameters'!$B$44*VLOOKUP($A107,NPV!$B$3:$C$44,2,0)</f>
        <v>19528.56507381425</v>
      </c>
      <c r="AF107" s="86">
        <f t="shared" si="32"/>
        <v>29632.623188331687</v>
      </c>
      <c r="AG107" s="86">
        <f t="shared" si="33"/>
        <v>20543.106380929221</v>
      </c>
      <c r="AI107" s="16">
        <f t="shared" si="20"/>
        <v>3061346.0933769066</v>
      </c>
      <c r="AJ107" s="16">
        <f t="shared" si="21"/>
        <v>2147360.3060556939</v>
      </c>
    </row>
    <row r="108" spans="1:36" x14ac:dyDescent="0.25">
      <c r="A108" s="5">
        <f t="shared" si="22"/>
        <v>2035</v>
      </c>
      <c r="B108" s="85">
        <f>'Barge - Liquid'!$B$9*12</f>
        <v>259.66954545454547</v>
      </c>
      <c r="C108" s="10">
        <f>B108*'Inputs &amp; Parameters'!$C$20/60</f>
        <v>4674.0518181818188</v>
      </c>
      <c r="D108" s="10">
        <f>B108*'Inputs &amp; Parameters'!$B$20</f>
        <v>34065.750865891372</v>
      </c>
      <c r="F108" s="86">
        <f>(($B$10/$B$21)*'Inputs &amp; Parameters'!$B$7 + ('Barge - Liquid'!$B$68/'Barge - Liquid'!$B$67)*'Barge - Liquid'!$B$69)</f>
        <v>1713925.3452709387</v>
      </c>
      <c r="G108" s="86">
        <f>(($B$10/$B$21)*'Inputs &amp; Parameters'!$B$7 + ('Barge - Liquid'!$B$68/'Barge - Liquid'!$B$67)*'Barge - Liquid'!$B$69)*VLOOKUP(A108,NPV!$B$4:$D$44,2,0)</f>
        <v>1152469.0005115368</v>
      </c>
      <c r="H108" s="86">
        <f t="shared" si="23"/>
        <v>1032965.451818182</v>
      </c>
      <c r="I108" s="86">
        <f>SUM(($B$5-1)*C108*$B$7,1*C108*$B$6)*VLOOKUP(A108,NPV!$B$4:$D$44,2,0)</f>
        <v>694581.39766972128</v>
      </c>
      <c r="J108" s="86">
        <f t="shared" si="24"/>
        <v>48125</v>
      </c>
      <c r="K108" s="86">
        <f>($B$61*0.25)+($B$63*0.5)*VLOOKUP(A108,NPV!$B$4:$D$44,2,0)</f>
        <v>35512.975017184959</v>
      </c>
      <c r="L108" s="86">
        <f>(B108*($B$12*$B$8))*($B$13/365)*('Barge - Liquid'!$B$65/24)</f>
        <v>4638.7413888022438</v>
      </c>
      <c r="M108" s="86">
        <f>(B108*($B$12*$B$8))*($B$13/365)*('Barge - Liquid'!$B$65/24)*VLOOKUP(A108,NPV!$B$4:$D$44,2,0)</f>
        <v>3119.1589918050477</v>
      </c>
      <c r="N108" s="86">
        <f t="shared" si="25"/>
        <v>2799654.5384779233</v>
      </c>
      <c r="O108" s="86">
        <f t="shared" si="26"/>
        <v>1885682.5321902481</v>
      </c>
      <c r="P108" s="8"/>
      <c r="Q108" s="86">
        <f t="shared" si="27"/>
        <v>234900.46964996596</v>
      </c>
      <c r="R108" s="86">
        <f>$D108*HLOOKUP($A108,$A$31:$Y$36,2,FALSE)*HLOOKUP($A108,$A$37:$Y$42,2,FALSE)*VLOOKUP($A108,NPV!$B$3:$D$44,3,0)</f>
        <v>181585.70319600409</v>
      </c>
      <c r="S108" s="86">
        <f>$D108*HLOOKUP($A108,$A$31:$Y$36,3,FALSE)*HLOOKUP($A108,$A$37:$Y$42,3,FALSE)*VLOOKUP($A108,NPV!$B$3:$C$44,2,0)</f>
        <v>0</v>
      </c>
      <c r="T108" s="86">
        <f>$D108*HLOOKUP($A108,$A$31:$Y$36,3,FALSE)*HLOOKUP($A108,$A$37:$Y$42,3,FALSE)*VLOOKUP($A108,NPV!$B$3:$C$44,2,0)*VLOOKUP($A108,NPV!$B$3:$C$44,2,0)</f>
        <v>0</v>
      </c>
      <c r="U108" s="86">
        <f t="shared" si="28"/>
        <v>0</v>
      </c>
      <c r="V108" s="86">
        <f>$D108*HLOOKUP($A108,$A$31:$Y$36,4,FALSE)*HLOOKUP($A108,$A$37:$Y$42,4,FALSE)*VLOOKUP($A108,NPV!$B$3:$C$44,2,0)</f>
        <v>0</v>
      </c>
      <c r="W108" s="86">
        <f t="shared" si="29"/>
        <v>0</v>
      </c>
      <c r="X108" s="86">
        <f>$D108*HLOOKUP($A108,$A$31:$Y$36,5,FALSE)*HLOOKUP($A108,$A$37:$Y$42,5,FALSE)*VLOOKUP($A108,NPV!$B$3:$C$44,2,0)</f>
        <v>0</v>
      </c>
      <c r="Y108" s="86">
        <f t="shared" si="30"/>
        <v>234900.46964996596</v>
      </c>
      <c r="Z108" s="86">
        <f t="shared" si="31"/>
        <v>181585.70319600409</v>
      </c>
      <c r="AB108" s="86">
        <f>$B$11*$F$55*'Inputs &amp; Parameters'!$B$45</f>
        <v>1463.4359431952466</v>
      </c>
      <c r="AC108" s="86">
        <f>$B$11*$F$55*'Inputs &amp; Parameters'!$B$45*VLOOKUP($A108,NPV!$B$3:$C$44,2,0)</f>
        <v>984.03618536854674</v>
      </c>
      <c r="AD108" s="86">
        <f>$B$11*$E$55*'Inputs &amp; Parameters'!$B$44</f>
        <v>28169.18724513644</v>
      </c>
      <c r="AE108" s="86">
        <f>$B$11*$E$55*'Inputs &amp; Parameters'!$B$44*VLOOKUP($A108,NPV!$B$3:$C$44,2,0)</f>
        <v>18941.382224844085</v>
      </c>
      <c r="AF108" s="86">
        <f t="shared" si="32"/>
        <v>29632.623188331687</v>
      </c>
      <c r="AG108" s="86">
        <f t="shared" si="33"/>
        <v>19925.418410212631</v>
      </c>
      <c r="AI108" s="16">
        <f t="shared" si="20"/>
        <v>3064187.6313162209</v>
      </c>
      <c r="AJ108" s="16">
        <f t="shared" si="21"/>
        <v>2087193.6537964649</v>
      </c>
    </row>
    <row r="109" spans="1:36" x14ac:dyDescent="0.25">
      <c r="A109" s="5">
        <f t="shared" si="22"/>
        <v>2036</v>
      </c>
      <c r="B109" s="85">
        <f>'Barge - Liquid'!$B$9*12</f>
        <v>259.66954545454547</v>
      </c>
      <c r="C109" s="10">
        <f>B109*'Inputs &amp; Parameters'!$C$20/60</f>
        <v>4674.0518181818188</v>
      </c>
      <c r="D109" s="10">
        <f>B109*'Inputs &amp; Parameters'!$B$20</f>
        <v>34065.750865891372</v>
      </c>
      <c r="F109" s="86">
        <f>(($B$10/$B$21)*'Inputs &amp; Parameters'!$B$7 + ('Barge - Liquid'!$B$68/'Barge - Liquid'!$B$67)*'Barge - Liquid'!$B$69)</f>
        <v>1713925.3452709387</v>
      </c>
      <c r="G109" s="86">
        <f>(($B$10/$B$21)*'Inputs &amp; Parameters'!$B$7 + ('Barge - Liquid'!$B$68/'Barge - Liquid'!$B$67)*'Barge - Liquid'!$B$69)*VLOOKUP(A109,NPV!$B$4:$D$44,2,0)</f>
        <v>1117816.6833283578</v>
      </c>
      <c r="H109" s="86">
        <f t="shared" si="23"/>
        <v>1032965.451818182</v>
      </c>
      <c r="I109" s="86">
        <f>SUM(($B$5-1)*C109*$B$7,1*C109*$B$6)*VLOOKUP(A109,NPV!$B$4:$D$44,2,0)</f>
        <v>673696.79696384224</v>
      </c>
      <c r="J109" s="86">
        <f t="shared" si="24"/>
        <v>48125</v>
      </c>
      <c r="K109" s="86">
        <f>($B$61*0.25)+($B$63*0.5)*VLOOKUP(A109,NPV!$B$4:$D$44,2,0)</f>
        <v>34734.578096202677</v>
      </c>
      <c r="L109" s="86">
        <f>(B109*($B$12*$B$8))*($B$13/365)*('Barge - Liquid'!$B$65/24)</f>
        <v>4638.7413888022438</v>
      </c>
      <c r="M109" s="86">
        <f>(B109*($B$12*$B$8))*($B$13/365)*('Barge - Liquid'!$B$65/24)*VLOOKUP(A109,NPV!$B$4:$D$44,2,0)</f>
        <v>3025.3724459796786</v>
      </c>
      <c r="N109" s="86">
        <f t="shared" si="25"/>
        <v>2799654.5384779233</v>
      </c>
      <c r="O109" s="86">
        <f t="shared" si="26"/>
        <v>1829273.4308343823</v>
      </c>
      <c r="P109" s="8"/>
      <c r="Q109" s="86">
        <f t="shared" si="27"/>
        <v>238689.18690238474</v>
      </c>
      <c r="R109" s="86">
        <f>$D109*HLOOKUP($A109,$A$31:$Y$36,2,FALSE)*HLOOKUP($A109,$A$37:$Y$42,2,FALSE)*VLOOKUP($A109,NPV!$B$3:$D$44,3,0)</f>
        <v>180896.57339260366</v>
      </c>
      <c r="S109" s="86">
        <f>$D109*HLOOKUP($A109,$A$31:$Y$36,3,FALSE)*HLOOKUP($A109,$A$37:$Y$42,3,FALSE)*VLOOKUP($A109,NPV!$B$3:$C$44,2,0)</f>
        <v>0</v>
      </c>
      <c r="T109" s="86">
        <f>$D109*HLOOKUP($A109,$A$31:$Y$36,3,FALSE)*HLOOKUP($A109,$A$37:$Y$42,3,FALSE)*VLOOKUP($A109,NPV!$B$3:$C$44,2,0)*VLOOKUP($A109,NPV!$B$3:$C$44,2,0)</f>
        <v>0</v>
      </c>
      <c r="U109" s="86">
        <f t="shared" si="28"/>
        <v>0</v>
      </c>
      <c r="V109" s="86">
        <f>$D109*HLOOKUP($A109,$A$31:$Y$36,4,FALSE)*HLOOKUP($A109,$A$37:$Y$42,4,FALSE)*VLOOKUP($A109,NPV!$B$3:$C$44,2,0)</f>
        <v>0</v>
      </c>
      <c r="W109" s="86">
        <f t="shared" si="29"/>
        <v>0</v>
      </c>
      <c r="X109" s="86">
        <f>$D109*HLOOKUP($A109,$A$31:$Y$36,5,FALSE)*HLOOKUP($A109,$A$37:$Y$42,5,FALSE)*VLOOKUP($A109,NPV!$B$3:$C$44,2,0)</f>
        <v>0</v>
      </c>
      <c r="Y109" s="86">
        <f t="shared" si="30"/>
        <v>238689.18690238474</v>
      </c>
      <c r="Z109" s="86">
        <f t="shared" si="31"/>
        <v>180896.57339260366</v>
      </c>
      <c r="AB109" s="86">
        <f>$B$11*$F$55*'Inputs &amp; Parameters'!$B$45</f>
        <v>1463.4359431952466</v>
      </c>
      <c r="AC109" s="86">
        <f>$B$11*$F$55*'Inputs &amp; Parameters'!$B$45*VLOOKUP($A109,NPV!$B$3:$C$44,2,0)</f>
        <v>954.44828842730055</v>
      </c>
      <c r="AD109" s="86">
        <f>$B$11*$E$55*'Inputs &amp; Parameters'!$B$44</f>
        <v>28169.18724513644</v>
      </c>
      <c r="AE109" s="86">
        <f>$B$11*$E$55*'Inputs &amp; Parameters'!$B$44*VLOOKUP($A109,NPV!$B$3:$C$44,2,0)</f>
        <v>18371.854728267786</v>
      </c>
      <c r="AF109" s="86">
        <f t="shared" si="32"/>
        <v>29632.623188331687</v>
      </c>
      <c r="AG109" s="86">
        <f t="shared" si="33"/>
        <v>19326.303016695088</v>
      </c>
      <c r="AI109" s="16">
        <f t="shared" si="20"/>
        <v>3067976.3485686397</v>
      </c>
      <c r="AJ109" s="16">
        <f t="shared" si="21"/>
        <v>2029496.307243681</v>
      </c>
    </row>
    <row r="110" spans="1:36" x14ac:dyDescent="0.25">
      <c r="A110" s="5">
        <f t="shared" si="22"/>
        <v>2037</v>
      </c>
      <c r="B110" s="85">
        <f>'Barge - Liquid'!$B$9*12</f>
        <v>259.66954545454547</v>
      </c>
      <c r="C110" s="10">
        <f>B110*'Inputs &amp; Parameters'!$C$20/60</f>
        <v>4674.0518181818188</v>
      </c>
      <c r="D110" s="10">
        <f>B110*'Inputs &amp; Parameters'!$B$20</f>
        <v>34065.750865891372</v>
      </c>
      <c r="F110" s="86">
        <f>(($B$10/$B$21)*'Inputs &amp; Parameters'!$B$7 + ('Barge - Liquid'!$B$68/'Barge - Liquid'!$B$67)*'Barge - Liquid'!$B$69)</f>
        <v>1713925.3452709387</v>
      </c>
      <c r="G110" s="86">
        <f>(($B$10/$B$21)*'Inputs &amp; Parameters'!$B$7 + ('Barge - Liquid'!$B$68/'Barge - Liquid'!$B$67)*'Barge - Liquid'!$B$69)*VLOOKUP(A110,NPV!$B$4:$D$44,2,0)</f>
        <v>1084206.28838832</v>
      </c>
      <c r="H110" s="86">
        <f t="shared" si="23"/>
        <v>1032965.451818182</v>
      </c>
      <c r="I110" s="86">
        <f>SUM(($B$5-1)*C110*$B$7,1*C110*$B$6)*VLOOKUP(A110,NPV!$B$4:$D$44,2,0)</f>
        <v>653440.15224426996</v>
      </c>
      <c r="J110" s="86">
        <f t="shared" si="24"/>
        <v>48125</v>
      </c>
      <c r="K110" s="86">
        <f>($B$61*0.25)+($B$63*0.5)*VLOOKUP(A110,NPV!$B$4:$D$44,2,0)</f>
        <v>33979.585932301343</v>
      </c>
      <c r="L110" s="86">
        <f>(B110*($B$12*$B$8))*($B$13/365)*('Barge - Liquid'!$B$65/24)</f>
        <v>4638.7413888022438</v>
      </c>
      <c r="M110" s="86">
        <f>(B110*($B$12*$B$8))*($B$13/365)*('Barge - Liquid'!$B$65/24)*VLOOKUP(A110,NPV!$B$4:$D$44,2,0)</f>
        <v>2934.405864189795</v>
      </c>
      <c r="N110" s="86">
        <f t="shared" si="25"/>
        <v>2799654.5384779233</v>
      </c>
      <c r="O110" s="86">
        <f t="shared" si="26"/>
        <v>1774560.4324290813</v>
      </c>
      <c r="P110" s="8"/>
      <c r="Q110" s="86">
        <f t="shared" si="27"/>
        <v>242477.90415480357</v>
      </c>
      <c r="R110" s="86">
        <f>$D110*HLOOKUP($A110,$A$31:$Y$36,2,FALSE)*HLOOKUP($A110,$A$37:$Y$42,2,FALSE)*VLOOKUP($A110,NPV!$B$3:$D$44,3,0)</f>
        <v>180164.65448376344</v>
      </c>
      <c r="S110" s="86">
        <f>$D110*HLOOKUP($A110,$A$31:$Y$36,3,FALSE)*HLOOKUP($A110,$A$37:$Y$42,3,FALSE)*VLOOKUP($A110,NPV!$B$3:$C$44,2,0)</f>
        <v>0</v>
      </c>
      <c r="T110" s="86">
        <f>$D110*HLOOKUP($A110,$A$31:$Y$36,3,FALSE)*HLOOKUP($A110,$A$37:$Y$42,3,FALSE)*VLOOKUP($A110,NPV!$B$3:$C$44,2,0)*VLOOKUP($A110,NPV!$B$3:$C$44,2,0)</f>
        <v>0</v>
      </c>
      <c r="U110" s="86">
        <f t="shared" si="28"/>
        <v>0</v>
      </c>
      <c r="V110" s="86">
        <f>$D110*HLOOKUP($A110,$A$31:$Y$36,4,FALSE)*HLOOKUP($A110,$A$37:$Y$42,4,FALSE)*VLOOKUP($A110,NPV!$B$3:$C$44,2,0)</f>
        <v>0</v>
      </c>
      <c r="W110" s="86">
        <f t="shared" si="29"/>
        <v>0</v>
      </c>
      <c r="X110" s="86">
        <f>$D110*HLOOKUP($A110,$A$31:$Y$36,5,FALSE)*HLOOKUP($A110,$A$37:$Y$42,5,FALSE)*VLOOKUP($A110,NPV!$B$3:$C$44,2,0)</f>
        <v>0</v>
      </c>
      <c r="Y110" s="86">
        <f t="shared" si="30"/>
        <v>242477.90415480357</v>
      </c>
      <c r="Z110" s="86">
        <f t="shared" si="31"/>
        <v>180164.65448376344</v>
      </c>
      <c r="AB110" s="86">
        <f>$B$11*$F$55*'Inputs &amp; Parameters'!$B$45</f>
        <v>1463.4359431952466</v>
      </c>
      <c r="AC110" s="86">
        <f>$B$11*$F$55*'Inputs &amp; Parameters'!$B$45*VLOOKUP($A110,NPV!$B$3:$C$44,2,0)</f>
        <v>925.75003727187266</v>
      </c>
      <c r="AD110" s="86">
        <f>$B$11*$E$55*'Inputs &amp; Parameters'!$B$44</f>
        <v>28169.18724513644</v>
      </c>
      <c r="AE110" s="86">
        <f>$B$11*$E$55*'Inputs &amp; Parameters'!$B$44*VLOOKUP($A110,NPV!$B$3:$C$44,2,0)</f>
        <v>17819.451724799019</v>
      </c>
      <c r="AF110" s="86">
        <f t="shared" si="32"/>
        <v>29632.623188331687</v>
      </c>
      <c r="AG110" s="86">
        <f t="shared" si="33"/>
        <v>18745.20176207089</v>
      </c>
      <c r="AI110" s="16">
        <f t="shared" si="20"/>
        <v>3071765.0658210586</v>
      </c>
      <c r="AJ110" s="16">
        <f t="shared" si="21"/>
        <v>1973470.2886749157</v>
      </c>
    </row>
    <row r="111" spans="1:36" x14ac:dyDescent="0.25">
      <c r="A111" s="5">
        <f t="shared" si="22"/>
        <v>2038</v>
      </c>
      <c r="B111" s="85">
        <f>'Barge - Liquid'!$B$9*12</f>
        <v>259.66954545454547</v>
      </c>
      <c r="C111" s="10">
        <f>B111*'Inputs &amp; Parameters'!$C$20/60</f>
        <v>4674.0518181818188</v>
      </c>
      <c r="D111" s="10">
        <f>B111*'Inputs &amp; Parameters'!$B$20</f>
        <v>34065.750865891372</v>
      </c>
      <c r="F111" s="86">
        <f>(($B$10/$B$21)*'Inputs &amp; Parameters'!$B$7 + ('Barge - Liquid'!$B$68/'Barge - Liquid'!$B$67)*'Barge - Liquid'!$B$69)</f>
        <v>1713925.3452709387</v>
      </c>
      <c r="G111" s="86">
        <f>(($B$10/$B$21)*'Inputs &amp; Parameters'!$B$7 + ('Barge - Liquid'!$B$68/'Barge - Liquid'!$B$67)*'Barge - Liquid'!$B$69)*VLOOKUP(A111,NPV!$B$4:$D$44,2,0)</f>
        <v>1051606.4872825604</v>
      </c>
      <c r="H111" s="86">
        <f t="shared" si="23"/>
        <v>1032965.451818182</v>
      </c>
      <c r="I111" s="86">
        <f>SUM(($B$5-1)*C111*$B$7,1*C111*$B$6)*VLOOKUP(A111,NPV!$B$4:$D$44,2,0)</f>
        <v>633792.58219618804</v>
      </c>
      <c r="J111" s="86">
        <f t="shared" si="24"/>
        <v>48125</v>
      </c>
      <c r="K111" s="86">
        <f>($B$61*0.25)+($B$63*0.5)*VLOOKUP(A111,NPV!$B$4:$D$44,2,0)</f>
        <v>33247.294793696739</v>
      </c>
      <c r="L111" s="86">
        <f>(B111*($B$12*$B$8))*($B$13/365)*('Barge - Liquid'!$B$65/24)</f>
        <v>4638.7413888022438</v>
      </c>
      <c r="M111" s="86">
        <f>(B111*($B$12*$B$8))*($B$13/365)*('Barge - Liquid'!$B$65/24)*VLOOKUP(A111,NPV!$B$4:$D$44,2,0)</f>
        <v>2846.174456052177</v>
      </c>
      <c r="N111" s="86">
        <f t="shared" si="25"/>
        <v>2799654.5384779233</v>
      </c>
      <c r="O111" s="86">
        <f t="shared" si="26"/>
        <v>1721492.5387284975</v>
      </c>
      <c r="P111" s="8"/>
      <c r="Q111" s="86">
        <f t="shared" si="27"/>
        <v>245319.44209411766</v>
      </c>
      <c r="R111" s="86">
        <f>$D111*HLOOKUP($A111,$A$31:$Y$36,2,FALSE)*HLOOKUP($A111,$A$37:$Y$42,2,FALSE)*VLOOKUP($A111,NPV!$B$3:$D$44,3,0)</f>
        <v>178701.92061617156</v>
      </c>
      <c r="S111" s="86">
        <f>$D111*HLOOKUP($A111,$A$31:$Y$36,3,FALSE)*HLOOKUP($A111,$A$37:$Y$42,3,FALSE)*VLOOKUP($A111,NPV!$B$3:$C$44,2,0)</f>
        <v>0</v>
      </c>
      <c r="T111" s="86">
        <f>$D111*HLOOKUP($A111,$A$31:$Y$36,3,FALSE)*HLOOKUP($A111,$A$37:$Y$42,3,FALSE)*VLOOKUP($A111,NPV!$B$3:$C$44,2,0)*VLOOKUP($A111,NPV!$B$3:$C$44,2,0)</f>
        <v>0</v>
      </c>
      <c r="U111" s="86">
        <f t="shared" si="28"/>
        <v>0</v>
      </c>
      <c r="V111" s="86">
        <f>$D111*HLOOKUP($A111,$A$31:$Y$36,4,FALSE)*HLOOKUP($A111,$A$37:$Y$42,4,FALSE)*VLOOKUP($A111,NPV!$B$3:$C$44,2,0)</f>
        <v>0</v>
      </c>
      <c r="W111" s="86">
        <f t="shared" si="29"/>
        <v>0</v>
      </c>
      <c r="X111" s="86">
        <f>$D111*HLOOKUP($A111,$A$31:$Y$36,5,FALSE)*HLOOKUP($A111,$A$37:$Y$42,5,FALSE)*VLOOKUP($A111,NPV!$B$3:$C$44,2,0)</f>
        <v>0</v>
      </c>
      <c r="Y111" s="86">
        <f t="shared" si="30"/>
        <v>245319.44209411766</v>
      </c>
      <c r="Z111" s="86">
        <f t="shared" si="31"/>
        <v>178701.92061617156</v>
      </c>
      <c r="AB111" s="86">
        <f>$B$11*$F$55*'Inputs &amp; Parameters'!$B$45</f>
        <v>1463.4359431952466</v>
      </c>
      <c r="AC111" s="86">
        <f>$B$11*$F$55*'Inputs &amp; Parameters'!$B$45*VLOOKUP($A111,NPV!$B$3:$C$44,2,0)</f>
        <v>897.91468212596749</v>
      </c>
      <c r="AD111" s="86">
        <f>$B$11*$E$55*'Inputs &amp; Parameters'!$B$44</f>
        <v>28169.18724513644</v>
      </c>
      <c r="AE111" s="86">
        <f>$B$11*$E$55*'Inputs &amp; Parameters'!$B$44*VLOOKUP($A111,NPV!$B$3:$C$44,2,0)</f>
        <v>17283.658316972858</v>
      </c>
      <c r="AF111" s="86">
        <f t="shared" si="32"/>
        <v>29632.623188331687</v>
      </c>
      <c r="AG111" s="86">
        <f t="shared" si="33"/>
        <v>18181.572999098826</v>
      </c>
      <c r="AI111" s="16">
        <f t="shared" si="20"/>
        <v>3074606.6037603728</v>
      </c>
      <c r="AJ111" s="16">
        <f t="shared" si="21"/>
        <v>1918376.0323437678</v>
      </c>
    </row>
    <row r="112" spans="1:36" x14ac:dyDescent="0.25">
      <c r="A112" s="5">
        <f t="shared" si="22"/>
        <v>2039</v>
      </c>
      <c r="B112" s="85">
        <f>'Barge - Liquid'!$B$9*12</f>
        <v>259.66954545454547</v>
      </c>
      <c r="C112" s="10">
        <f>B112*'Inputs &amp; Parameters'!$C$20/60</f>
        <v>4674.0518181818188</v>
      </c>
      <c r="D112" s="10">
        <f>B112*'Inputs &amp; Parameters'!$B$20</f>
        <v>34065.750865891372</v>
      </c>
      <c r="F112" s="86">
        <f>(($B$10/$B$21)*'Inputs &amp; Parameters'!$B$7 + ('Barge - Liquid'!$B$68/'Barge - Liquid'!$B$67)*'Barge - Liquid'!$B$69)</f>
        <v>1713925.3452709387</v>
      </c>
      <c r="G112" s="86">
        <f>(($B$10/$B$21)*'Inputs &amp; Parameters'!$B$7 + ('Barge - Liquid'!$B$68/'Barge - Liquid'!$B$67)*'Barge - Liquid'!$B$69)*VLOOKUP(A112,NPV!$B$4:$D$44,2,0)</f>
        <v>1019986.893581533</v>
      </c>
      <c r="H112" s="86">
        <f t="shared" si="23"/>
        <v>1032965.451818182</v>
      </c>
      <c r="I112" s="86">
        <f>SUM(($B$5-1)*C112*$B$7,1*C112*$B$6)*VLOOKUP(A112,NPV!$B$4:$D$44,2,0)</f>
        <v>614735.7732261765</v>
      </c>
      <c r="J112" s="86">
        <f t="shared" si="24"/>
        <v>48125</v>
      </c>
      <c r="K112" s="86">
        <f>($B$61*0.25)+($B$63*0.5)*VLOOKUP(A112,NPV!$B$4:$D$44,2,0)</f>
        <v>32537.022108338253</v>
      </c>
      <c r="L112" s="86">
        <f>(B112*($B$12*$B$8))*($B$13/365)*('Barge - Liquid'!$B$65/24)</f>
        <v>4638.7413888022438</v>
      </c>
      <c r="M112" s="86">
        <f>(B112*($B$12*$B$8))*($B$13/365)*('Barge - Liquid'!$B$65/24)*VLOOKUP(A112,NPV!$B$4:$D$44,2,0)</f>
        <v>2760.5959806519663</v>
      </c>
      <c r="N112" s="86">
        <f t="shared" si="25"/>
        <v>2799654.5384779233</v>
      </c>
      <c r="O112" s="86">
        <f t="shared" si="26"/>
        <v>1670020.2848966997</v>
      </c>
      <c r="P112" s="8"/>
      <c r="Q112" s="86">
        <f t="shared" si="27"/>
        <v>249108.15934653647</v>
      </c>
      <c r="R112" s="86">
        <f>$D112*HLOOKUP($A112,$A$31:$Y$36,2,FALSE)*HLOOKUP($A112,$A$37:$Y$42,2,FALSE)*VLOOKUP($A112,NPV!$B$3:$D$44,3,0)</f>
        <v>177903.72140984601</v>
      </c>
      <c r="S112" s="86">
        <f>$D112*HLOOKUP($A112,$A$31:$Y$36,3,FALSE)*HLOOKUP($A112,$A$37:$Y$42,3,FALSE)*VLOOKUP($A112,NPV!$B$3:$C$44,2,0)</f>
        <v>0</v>
      </c>
      <c r="T112" s="86">
        <f>$D112*HLOOKUP($A112,$A$31:$Y$36,3,FALSE)*HLOOKUP($A112,$A$37:$Y$42,3,FALSE)*VLOOKUP($A112,NPV!$B$3:$C$44,2,0)*VLOOKUP($A112,NPV!$B$3:$C$44,2,0)</f>
        <v>0</v>
      </c>
      <c r="U112" s="86">
        <f t="shared" si="28"/>
        <v>0</v>
      </c>
      <c r="V112" s="86">
        <f>$D112*HLOOKUP($A112,$A$31:$Y$36,4,FALSE)*HLOOKUP($A112,$A$37:$Y$42,4,FALSE)*VLOOKUP($A112,NPV!$B$3:$C$44,2,0)</f>
        <v>0</v>
      </c>
      <c r="W112" s="86">
        <f t="shared" si="29"/>
        <v>0</v>
      </c>
      <c r="X112" s="86">
        <f>$D112*HLOOKUP($A112,$A$31:$Y$36,5,FALSE)*HLOOKUP($A112,$A$37:$Y$42,5,FALSE)*VLOOKUP($A112,NPV!$B$3:$C$44,2,0)</f>
        <v>0</v>
      </c>
      <c r="Y112" s="86">
        <f t="shared" si="30"/>
        <v>249108.15934653647</v>
      </c>
      <c r="Z112" s="86">
        <f t="shared" si="31"/>
        <v>177903.72140984601</v>
      </c>
      <c r="AB112" s="86">
        <f>$B$11*$F$55*'Inputs &amp; Parameters'!$B$45</f>
        <v>1463.4359431952466</v>
      </c>
      <c r="AC112" s="86">
        <f>$B$11*$F$55*'Inputs &amp; Parameters'!$B$45*VLOOKUP($A112,NPV!$B$3:$C$44,2,0)</f>
        <v>870.9162775227619</v>
      </c>
      <c r="AD112" s="86">
        <f>$B$11*$E$55*'Inputs &amp; Parameters'!$B$44</f>
        <v>28169.18724513644</v>
      </c>
      <c r="AE112" s="86">
        <f>$B$11*$E$55*'Inputs &amp; Parameters'!$B$44*VLOOKUP($A112,NPV!$B$3:$C$44,2,0)</f>
        <v>16763.97508920743</v>
      </c>
      <c r="AF112" s="86">
        <f t="shared" si="32"/>
        <v>29632.623188331687</v>
      </c>
      <c r="AG112" s="86">
        <f t="shared" si="33"/>
        <v>17634.891366730193</v>
      </c>
      <c r="AI112" s="16">
        <f t="shared" si="20"/>
        <v>3078395.3210127912</v>
      </c>
      <c r="AJ112" s="16">
        <f t="shared" si="21"/>
        <v>1865558.897673276</v>
      </c>
    </row>
    <row r="113" spans="1:36" x14ac:dyDescent="0.25">
      <c r="A113" s="5">
        <f t="shared" si="22"/>
        <v>2040</v>
      </c>
      <c r="B113" s="85">
        <f>'Barge - Liquid'!$B$9*12</f>
        <v>259.66954545454547</v>
      </c>
      <c r="C113" s="10">
        <f>B113*'Inputs &amp; Parameters'!$C$20/60</f>
        <v>4674.0518181818188</v>
      </c>
      <c r="D113" s="10">
        <f>B113*'Inputs &amp; Parameters'!$B$20</f>
        <v>34065.750865891372</v>
      </c>
      <c r="F113" s="86">
        <f>(($B$10/$B$21)*'Inputs &amp; Parameters'!$B$7 + ('Barge - Liquid'!$B$68/'Barge - Liquid'!$B$67)*'Barge - Liquid'!$B$69)</f>
        <v>1713925.3452709387</v>
      </c>
      <c r="G113" s="86">
        <f>(($B$10/$B$21)*'Inputs &amp; Parameters'!$B$7 + ('Barge - Liquid'!$B$68/'Barge - Liquid'!$B$67)*'Barge - Liquid'!$B$69)*VLOOKUP(A113,NPV!$B$4:$D$44,2,0)</f>
        <v>989318.03451167129</v>
      </c>
      <c r="H113" s="86">
        <f t="shared" si="23"/>
        <v>1032965.451818182</v>
      </c>
      <c r="I113" s="86">
        <f>SUM(($B$5-1)*C113*$B$7,1*C113*$B$6)*VLOOKUP(A113,NPV!$B$4:$D$44,2,0)</f>
        <v>596251.96239202388</v>
      </c>
      <c r="J113" s="86">
        <f t="shared" si="24"/>
        <v>48125</v>
      </c>
      <c r="K113" s="86">
        <f>($B$61*0.25)+($B$63*0.5)*VLOOKUP(A113,NPV!$B$4:$D$44,2,0)</f>
        <v>31848.10582768017</v>
      </c>
      <c r="L113" s="86">
        <f>(B113*($B$12*$B$8))*($B$13/365)*('Barge - Liquid'!$B$65/24)</f>
        <v>4638.7413888022438</v>
      </c>
      <c r="M113" s="86">
        <f>(B113*($B$12*$B$8))*($B$13/365)*('Barge - Liquid'!$B$65/24)*VLOOKUP(A113,NPV!$B$4:$D$44,2,0)</f>
        <v>2677.5906698855156</v>
      </c>
      <c r="N113" s="86">
        <f t="shared" si="25"/>
        <v>2799654.5384779233</v>
      </c>
      <c r="O113" s="86">
        <f t="shared" si="26"/>
        <v>1620095.6934012608</v>
      </c>
      <c r="P113" s="8"/>
      <c r="Q113" s="86">
        <f t="shared" si="27"/>
        <v>252896.87659895531</v>
      </c>
      <c r="R113" s="86">
        <f>$D113*HLOOKUP($A113,$A$31:$Y$36,2,FALSE)*HLOOKUP($A113,$A$37:$Y$42,2,FALSE)*VLOOKUP($A113,NPV!$B$3:$D$44,3,0)</f>
        <v>177068.11905028293</v>
      </c>
      <c r="S113" s="86">
        <f>$D113*HLOOKUP($A113,$A$31:$Y$36,3,FALSE)*HLOOKUP($A113,$A$37:$Y$42,3,FALSE)*VLOOKUP($A113,NPV!$B$3:$C$44,2,0)</f>
        <v>0</v>
      </c>
      <c r="T113" s="86">
        <f>$D113*HLOOKUP($A113,$A$31:$Y$36,3,FALSE)*HLOOKUP($A113,$A$37:$Y$42,3,FALSE)*VLOOKUP($A113,NPV!$B$3:$C$44,2,0)*VLOOKUP($A113,NPV!$B$3:$C$44,2,0)</f>
        <v>0</v>
      </c>
      <c r="U113" s="86">
        <f t="shared" si="28"/>
        <v>0</v>
      </c>
      <c r="V113" s="86">
        <f>$D113*HLOOKUP($A113,$A$31:$Y$36,4,FALSE)*HLOOKUP($A113,$A$37:$Y$42,4,FALSE)*VLOOKUP($A113,NPV!$B$3:$C$44,2,0)</f>
        <v>0</v>
      </c>
      <c r="W113" s="86">
        <f t="shared" si="29"/>
        <v>0</v>
      </c>
      <c r="X113" s="86">
        <f>$D113*HLOOKUP($A113,$A$31:$Y$36,5,FALSE)*HLOOKUP($A113,$A$37:$Y$42,5,FALSE)*VLOOKUP($A113,NPV!$B$3:$C$44,2,0)</f>
        <v>0</v>
      </c>
      <c r="Y113" s="86">
        <f t="shared" si="30"/>
        <v>252896.87659895531</v>
      </c>
      <c r="Z113" s="86">
        <f t="shared" si="31"/>
        <v>177068.11905028293</v>
      </c>
      <c r="AB113" s="86">
        <f>$B$11*$F$55*'Inputs &amp; Parameters'!$B$45</f>
        <v>1463.4359431952466</v>
      </c>
      <c r="AC113" s="86">
        <f>$B$11*$F$55*'Inputs &amp; Parameters'!$B$45*VLOOKUP($A113,NPV!$B$3:$C$44,2,0)</f>
        <v>844.72965812101074</v>
      </c>
      <c r="AD113" s="86">
        <f>$B$11*$E$55*'Inputs &amp; Parameters'!$B$44</f>
        <v>28169.18724513644</v>
      </c>
      <c r="AE113" s="86">
        <f>$B$11*$E$55*'Inputs &amp; Parameters'!$B$44*VLOOKUP($A113,NPV!$B$3:$C$44,2,0)</f>
        <v>16259.917642296248</v>
      </c>
      <c r="AF113" s="86">
        <f t="shared" si="32"/>
        <v>29632.623188331687</v>
      </c>
      <c r="AG113" s="86">
        <f t="shared" si="33"/>
        <v>17104.647300417259</v>
      </c>
      <c r="AI113" s="16">
        <f t="shared" si="20"/>
        <v>3082184.0382652101</v>
      </c>
      <c r="AJ113" s="16">
        <f t="shared" si="21"/>
        <v>1814268.4597519611</v>
      </c>
    </row>
    <row r="114" spans="1:36" x14ac:dyDescent="0.25">
      <c r="A114" s="5">
        <f t="shared" si="22"/>
        <v>2041</v>
      </c>
      <c r="B114" s="85">
        <f>'Barge - Liquid'!$B$9*12</f>
        <v>259.66954545454547</v>
      </c>
      <c r="C114" s="10">
        <f>B114*'Inputs &amp; Parameters'!$C$20/60</f>
        <v>4674.0518181818188</v>
      </c>
      <c r="D114" s="10">
        <f>B114*'Inputs &amp; Parameters'!$B$20</f>
        <v>34065.750865891372</v>
      </c>
      <c r="F114" s="86">
        <f>(($B$10/$B$21)*'Inputs &amp; Parameters'!$B$7 + ('Barge - Liquid'!$B$68/'Barge - Liquid'!$B$67)*'Barge - Liquid'!$B$69)</f>
        <v>1713925.3452709387</v>
      </c>
      <c r="G114" s="86">
        <f>(($B$10/$B$21)*'Inputs &amp; Parameters'!$B$7 + ('Barge - Liquid'!$B$68/'Barge - Liquid'!$B$67)*'Barge - Liquid'!$B$69)*VLOOKUP(A114,NPV!$B$4:$D$44,2,0)</f>
        <v>959571.32348367746</v>
      </c>
      <c r="H114" s="86">
        <f t="shared" si="23"/>
        <v>1032965.451818182</v>
      </c>
      <c r="I114" s="86">
        <f>SUM(($B$5-1)*C114*$B$7,1*C114*$B$6)*VLOOKUP(A114,NPV!$B$4:$D$44,2,0)</f>
        <v>578323.92084580404</v>
      </c>
      <c r="J114" s="86">
        <f t="shared" si="24"/>
        <v>48125</v>
      </c>
      <c r="K114" s="86">
        <f>($B$61*0.25)+($B$63*0.5)*VLOOKUP(A114,NPV!$B$4:$D$44,2,0)</f>
        <v>31179.903809583095</v>
      </c>
      <c r="L114" s="86">
        <f>(B114*($B$12*$B$8))*($B$13/365)*('Barge - Liquid'!$B$65/24)</f>
        <v>4638.7413888022438</v>
      </c>
      <c r="M114" s="86">
        <f>(B114*($B$12*$B$8))*($B$13/365)*('Barge - Liquid'!$B$65/24)*VLOOKUP(A114,NPV!$B$4:$D$44,2,0)</f>
        <v>2597.081154108163</v>
      </c>
      <c r="N114" s="86">
        <f t="shared" si="25"/>
        <v>2799654.5384779233</v>
      </c>
      <c r="O114" s="86">
        <f t="shared" si="26"/>
        <v>1571672.2292931725</v>
      </c>
      <c r="P114" s="8"/>
      <c r="Q114" s="86">
        <f t="shared" si="27"/>
        <v>256685.59385137408</v>
      </c>
      <c r="R114" s="86">
        <f>$D114*HLOOKUP($A114,$A$31:$Y$36,2,FALSE)*HLOOKUP($A114,$A$37:$Y$42,2,FALSE)*VLOOKUP($A114,NPV!$B$3:$D$44,3,0)</f>
        <v>176196.88720946855</v>
      </c>
      <c r="S114" s="86">
        <f>$D114*HLOOKUP($A114,$A$31:$Y$36,3,FALSE)*HLOOKUP($A114,$A$37:$Y$42,3,FALSE)*VLOOKUP($A114,NPV!$B$3:$C$44,2,0)</f>
        <v>0</v>
      </c>
      <c r="T114" s="86">
        <f>$D114*HLOOKUP($A114,$A$31:$Y$36,3,FALSE)*HLOOKUP($A114,$A$37:$Y$42,3,FALSE)*VLOOKUP($A114,NPV!$B$3:$C$44,2,0)*VLOOKUP($A114,NPV!$B$3:$C$44,2,0)</f>
        <v>0</v>
      </c>
      <c r="U114" s="86">
        <f t="shared" si="28"/>
        <v>0</v>
      </c>
      <c r="V114" s="86">
        <f>$D114*HLOOKUP($A114,$A$31:$Y$36,4,FALSE)*HLOOKUP($A114,$A$37:$Y$42,4,FALSE)*VLOOKUP($A114,NPV!$B$3:$C$44,2,0)</f>
        <v>0</v>
      </c>
      <c r="W114" s="86">
        <f t="shared" si="29"/>
        <v>0</v>
      </c>
      <c r="X114" s="86">
        <f>$D114*HLOOKUP($A114,$A$31:$Y$36,5,FALSE)*HLOOKUP($A114,$A$37:$Y$42,5,FALSE)*VLOOKUP($A114,NPV!$B$3:$C$44,2,0)</f>
        <v>0</v>
      </c>
      <c r="Y114" s="86">
        <f t="shared" si="30"/>
        <v>256685.59385137408</v>
      </c>
      <c r="Z114" s="86">
        <f t="shared" si="31"/>
        <v>176196.88720946855</v>
      </c>
      <c r="AB114" s="86">
        <f>$B$11*$F$55*'Inputs &amp; Parameters'!$B$45</f>
        <v>1463.4359431952466</v>
      </c>
      <c r="AC114" s="86">
        <f>$B$11*$F$55*'Inputs &amp; Parameters'!$B$45*VLOOKUP($A114,NPV!$B$3:$C$44,2,0)</f>
        <v>819.3304152483131</v>
      </c>
      <c r="AD114" s="86">
        <f>$B$11*$E$55*'Inputs &amp; Parameters'!$B$44</f>
        <v>28169.18724513644</v>
      </c>
      <c r="AE114" s="86">
        <f>$B$11*$E$55*'Inputs &amp; Parameters'!$B$44*VLOOKUP($A114,NPV!$B$3:$C$44,2,0)</f>
        <v>15771.016141897429</v>
      </c>
      <c r="AF114" s="86">
        <f t="shared" si="32"/>
        <v>29632.623188331687</v>
      </c>
      <c r="AG114" s="86">
        <f t="shared" si="33"/>
        <v>16590.346557145742</v>
      </c>
      <c r="AI114" s="16">
        <f t="shared" si="20"/>
        <v>3085972.755517629</v>
      </c>
      <c r="AJ114" s="16">
        <f t="shared" si="21"/>
        <v>1764459.4630597867</v>
      </c>
    </row>
    <row r="115" spans="1:36" x14ac:dyDescent="0.25">
      <c r="A115" s="5">
        <f t="shared" si="22"/>
        <v>2042</v>
      </c>
      <c r="B115" s="85">
        <f>'Barge - Liquid'!$B$9*12</f>
        <v>259.66954545454547</v>
      </c>
      <c r="C115" s="10">
        <f>B115*'Inputs &amp; Parameters'!$C$20/60</f>
        <v>4674.0518181818188</v>
      </c>
      <c r="D115" s="10">
        <f>B115*'Inputs &amp; Parameters'!$B$20</f>
        <v>34065.750865891372</v>
      </c>
      <c r="F115" s="86">
        <f>(($B$10/$B$21)*'Inputs &amp; Parameters'!$B$7 + ('Barge - Liquid'!$B$68/'Barge - Liquid'!$B$67)*'Barge - Liquid'!$B$69)</f>
        <v>1713925.3452709387</v>
      </c>
      <c r="G115" s="86">
        <f>(($B$10/$B$21)*'Inputs &amp; Parameters'!$B$7 + ('Barge - Liquid'!$B$68/'Barge - Liquid'!$B$67)*'Barge - Liquid'!$B$69)*VLOOKUP(A115,NPV!$B$4:$D$44,2,0)</f>
        <v>930719.03344682592</v>
      </c>
      <c r="H115" s="86">
        <f t="shared" si="23"/>
        <v>1032965.451818182</v>
      </c>
      <c r="I115" s="86">
        <f>SUM(($B$5-1)*C115*$B$7,1*C115*$B$6)*VLOOKUP(A115,NPV!$B$4:$D$44,2,0)</f>
        <v>560934.93777478568</v>
      </c>
      <c r="J115" s="86">
        <f t="shared" si="24"/>
        <v>48125</v>
      </c>
      <c r="K115" s="86">
        <f>($B$61*0.25)+($B$63*0.5)*VLOOKUP(A115,NPV!$B$4:$D$44,2,0)</f>
        <v>30531.793219770221</v>
      </c>
      <c r="L115" s="86">
        <f>(B115*($B$12*$B$8))*($B$13/365)*('Barge - Liquid'!$B$65/24)</f>
        <v>4638.7413888022438</v>
      </c>
      <c r="M115" s="86">
        <f>(B115*($B$12*$B$8))*($B$13/365)*('Barge - Liquid'!$B$65/24)*VLOOKUP(A115,NPV!$B$4:$D$44,2,0)</f>
        <v>2518.9923900176168</v>
      </c>
      <c r="N115" s="86">
        <f t="shared" si="25"/>
        <v>2799654.5384779233</v>
      </c>
      <c r="O115" s="86">
        <f t="shared" si="26"/>
        <v>1524704.7568313996</v>
      </c>
      <c r="P115" s="8"/>
      <c r="Q115" s="86">
        <f t="shared" si="27"/>
        <v>260474.31110379289</v>
      </c>
      <c r="R115" s="86">
        <f>$D115*HLOOKUP($A115,$A$31:$Y$36,2,FALSE)*HLOOKUP($A115,$A$37:$Y$42,2,FALSE)*VLOOKUP($A115,NPV!$B$3:$D$44,3,0)</f>
        <v>175291.74438392249</v>
      </c>
      <c r="S115" s="86">
        <f>$D115*HLOOKUP($A115,$A$31:$Y$36,3,FALSE)*HLOOKUP($A115,$A$37:$Y$42,3,FALSE)*VLOOKUP($A115,NPV!$B$3:$C$44,2,0)</f>
        <v>0</v>
      </c>
      <c r="T115" s="86">
        <f>$D115*HLOOKUP($A115,$A$31:$Y$36,3,FALSE)*HLOOKUP($A115,$A$37:$Y$42,3,FALSE)*VLOOKUP($A115,NPV!$B$3:$C$44,2,0)*VLOOKUP($A115,NPV!$B$3:$C$44,2,0)</f>
        <v>0</v>
      </c>
      <c r="U115" s="86">
        <f t="shared" si="28"/>
        <v>0</v>
      </c>
      <c r="V115" s="86">
        <f>$D115*HLOOKUP($A115,$A$31:$Y$36,4,FALSE)*HLOOKUP($A115,$A$37:$Y$42,4,FALSE)*VLOOKUP($A115,NPV!$B$3:$C$44,2,0)</f>
        <v>0</v>
      </c>
      <c r="W115" s="86">
        <f t="shared" si="29"/>
        <v>0</v>
      </c>
      <c r="X115" s="86">
        <f>$D115*HLOOKUP($A115,$A$31:$Y$36,5,FALSE)*HLOOKUP($A115,$A$37:$Y$42,5,FALSE)*VLOOKUP($A115,NPV!$B$3:$C$44,2,0)</f>
        <v>0</v>
      </c>
      <c r="Y115" s="86">
        <f t="shared" si="30"/>
        <v>260474.31110379289</v>
      </c>
      <c r="Z115" s="86">
        <f t="shared" si="31"/>
        <v>175291.74438392249</v>
      </c>
      <c r="AB115" s="86">
        <f>$B$11*$F$55*'Inputs &amp; Parameters'!$B$45</f>
        <v>1463.4359431952466</v>
      </c>
      <c r="AC115" s="86">
        <f>$B$11*$F$55*'Inputs &amp; Parameters'!$B$45*VLOOKUP($A115,NPV!$B$3:$C$44,2,0)</f>
        <v>794.6948741496733</v>
      </c>
      <c r="AD115" s="86">
        <f>$B$11*$E$55*'Inputs &amp; Parameters'!$B$44</f>
        <v>28169.18724513644</v>
      </c>
      <c r="AE115" s="86">
        <f>$B$11*$E$55*'Inputs &amp; Parameters'!$B$44*VLOOKUP($A115,NPV!$B$3:$C$44,2,0)</f>
        <v>15296.814880598866</v>
      </c>
      <c r="AF115" s="86">
        <f t="shared" si="32"/>
        <v>29632.623188331687</v>
      </c>
      <c r="AG115" s="86">
        <f t="shared" si="33"/>
        <v>16091.509754748538</v>
      </c>
      <c r="AI115" s="16">
        <f t="shared" si="20"/>
        <v>3089761.4727700478</v>
      </c>
      <c r="AJ115" s="16">
        <f t="shared" si="21"/>
        <v>1716088.0109700707</v>
      </c>
    </row>
    <row r="116" spans="1:36" x14ac:dyDescent="0.25">
      <c r="A116" s="5">
        <f t="shared" si="22"/>
        <v>2043</v>
      </c>
      <c r="B116" s="85">
        <f>'Barge - Liquid'!$B$9*12</f>
        <v>259.66954545454547</v>
      </c>
      <c r="C116" s="10">
        <f>B116*'Inputs &amp; Parameters'!$C$20/60</f>
        <v>4674.0518181818188</v>
      </c>
      <c r="D116" s="10">
        <f>B116*'Inputs &amp; Parameters'!$B$20</f>
        <v>34065.750865891372</v>
      </c>
      <c r="F116" s="86">
        <f>(($B$10/$B$21)*'Inputs &amp; Parameters'!$B$7 + ('Barge - Liquid'!$B$68/'Barge - Liquid'!$B$67)*'Barge - Liquid'!$B$69)</f>
        <v>1713925.3452709387</v>
      </c>
      <c r="G116" s="86">
        <f>(($B$10/$B$21)*'Inputs &amp; Parameters'!$B$7 + ('Barge - Liquid'!$B$68/'Barge - Liquid'!$B$67)*'Barge - Liquid'!$B$69)*VLOOKUP(A116,NPV!$B$4:$D$44,2,0)</f>
        <v>902734.27104444802</v>
      </c>
      <c r="H116" s="86">
        <f t="shared" si="23"/>
        <v>1032965.451818182</v>
      </c>
      <c r="I116" s="86">
        <f>SUM(($B$5-1)*C116*$B$7,1*C116*$B$6)*VLOOKUP(A116,NPV!$B$4:$D$44,2,0)</f>
        <v>544068.80482520442</v>
      </c>
      <c r="J116" s="86">
        <f t="shared" si="24"/>
        <v>48125</v>
      </c>
      <c r="K116" s="86">
        <f>($B$61*0.25)+($B$63*0.5)*VLOOKUP(A116,NPV!$B$4:$D$44,2,0)</f>
        <v>29903.169951280524</v>
      </c>
      <c r="L116" s="86">
        <f>(B116*($B$12*$B$8))*($B$13/365)*('Barge - Liquid'!$B$65/24)</f>
        <v>4638.7413888022438</v>
      </c>
      <c r="M116" s="86">
        <f>(B116*($B$12*$B$8))*($B$13/365)*('Barge - Liquid'!$B$65/24)*VLOOKUP(A116,NPV!$B$4:$D$44,2,0)</f>
        <v>2443.2515907057391</v>
      </c>
      <c r="N116" s="86">
        <f t="shared" si="25"/>
        <v>2799654.5384779233</v>
      </c>
      <c r="O116" s="86">
        <f t="shared" si="26"/>
        <v>1479149.4974116387</v>
      </c>
      <c r="P116" s="8"/>
      <c r="Q116" s="86">
        <f t="shared" si="27"/>
        <v>264263.02835621173</v>
      </c>
      <c r="R116" s="86">
        <f>$D116*HLOOKUP($A116,$A$31:$Y$36,2,FALSE)*HLOOKUP($A116,$A$37:$Y$42,2,FALSE)*VLOOKUP($A116,NPV!$B$3:$D$44,3,0)</f>
        <v>174354.35537652185</v>
      </c>
      <c r="S116" s="86">
        <f>$D116*HLOOKUP($A116,$A$31:$Y$36,3,FALSE)*HLOOKUP($A116,$A$37:$Y$42,3,FALSE)*VLOOKUP($A116,NPV!$B$3:$C$44,2,0)</f>
        <v>0</v>
      </c>
      <c r="T116" s="86">
        <f>$D116*HLOOKUP($A116,$A$31:$Y$36,3,FALSE)*HLOOKUP($A116,$A$37:$Y$42,3,FALSE)*VLOOKUP($A116,NPV!$B$3:$C$44,2,0)*VLOOKUP($A116,NPV!$B$3:$C$44,2,0)</f>
        <v>0</v>
      </c>
      <c r="U116" s="86">
        <f t="shared" si="28"/>
        <v>0</v>
      </c>
      <c r="V116" s="86">
        <f>$D116*HLOOKUP($A116,$A$31:$Y$36,4,FALSE)*HLOOKUP($A116,$A$37:$Y$42,4,FALSE)*VLOOKUP($A116,NPV!$B$3:$C$44,2,0)</f>
        <v>0</v>
      </c>
      <c r="W116" s="86">
        <f t="shared" si="29"/>
        <v>0</v>
      </c>
      <c r="X116" s="86">
        <f>$D116*HLOOKUP($A116,$A$31:$Y$36,5,FALSE)*HLOOKUP($A116,$A$37:$Y$42,5,FALSE)*VLOOKUP($A116,NPV!$B$3:$C$44,2,0)</f>
        <v>0</v>
      </c>
      <c r="Y116" s="86">
        <f t="shared" si="30"/>
        <v>264263.02835621173</v>
      </c>
      <c r="Z116" s="86">
        <f t="shared" si="31"/>
        <v>174354.35537652185</v>
      </c>
      <c r="AB116" s="86">
        <f>$B$11*$F$55*'Inputs &amp; Parameters'!$B$45</f>
        <v>1463.4359431952466</v>
      </c>
      <c r="AC116" s="86">
        <f>$B$11*$F$55*'Inputs &amp; Parameters'!$B$45*VLOOKUP($A116,NPV!$B$3:$C$44,2,0)</f>
        <v>770.80007192014864</v>
      </c>
      <c r="AD116" s="86">
        <f>$B$11*$E$55*'Inputs &amp; Parameters'!$B$44</f>
        <v>28169.18724513644</v>
      </c>
      <c r="AE116" s="86">
        <f>$B$11*$E$55*'Inputs &amp; Parameters'!$B$44*VLOOKUP($A116,NPV!$B$3:$C$44,2,0)</f>
        <v>14836.871853151179</v>
      </c>
      <c r="AF116" s="86">
        <f t="shared" si="32"/>
        <v>29632.623188331687</v>
      </c>
      <c r="AG116" s="86">
        <f t="shared" si="33"/>
        <v>15607.671925071327</v>
      </c>
      <c r="AI116" s="16">
        <f t="shared" si="20"/>
        <v>3093550.1900224667</v>
      </c>
      <c r="AJ116" s="16">
        <f t="shared" si="21"/>
        <v>1669111.5247132319</v>
      </c>
    </row>
    <row r="117" spans="1:36" x14ac:dyDescent="0.25">
      <c r="A117" s="5">
        <f t="shared" si="22"/>
        <v>2044</v>
      </c>
      <c r="B117" s="85">
        <f>'Barge - Liquid'!$B$9*12</f>
        <v>259.66954545454547</v>
      </c>
      <c r="C117" s="10">
        <f>B117*'Inputs &amp; Parameters'!$C$20/60</f>
        <v>4674.0518181818188</v>
      </c>
      <c r="D117" s="10">
        <f>B117*'Inputs &amp; Parameters'!$B$20</f>
        <v>34065.750865891372</v>
      </c>
      <c r="F117" s="86">
        <f>(($B$10/$B$21)*'Inputs &amp; Parameters'!$B$7 + ('Barge - Liquid'!$B$68/'Barge - Liquid'!$B$67)*'Barge - Liquid'!$B$69)</f>
        <v>1713925.3452709387</v>
      </c>
      <c r="G117" s="86">
        <f>(($B$10/$B$21)*'Inputs &amp; Parameters'!$B$7 + ('Barge - Liquid'!$B$68/'Barge - Liquid'!$B$67)*'Barge - Liquid'!$B$69)*VLOOKUP(A117,NPV!$B$4:$D$44,2,0)</f>
        <v>875590.95154650637</v>
      </c>
      <c r="H117" s="86">
        <f t="shared" si="23"/>
        <v>1032965.451818182</v>
      </c>
      <c r="I117" s="86">
        <f>SUM(($B$5-1)*C117*$B$7,1*C117*$B$6)*VLOOKUP(A117,NPV!$B$4:$D$44,2,0)</f>
        <v>527709.80099437875</v>
      </c>
      <c r="J117" s="86">
        <f t="shared" si="24"/>
        <v>48125</v>
      </c>
      <c r="K117" s="86">
        <f>($B$61*0.25)+($B$63*0.5)*VLOOKUP(A117,NPV!$B$4:$D$44,2,0)</f>
        <v>29293.448061377814</v>
      </c>
      <c r="L117" s="86">
        <f>(B117*($B$12*$B$8))*($B$13/365)*('Barge - Liquid'!$B$65/24)</f>
        <v>4638.7413888022438</v>
      </c>
      <c r="M117" s="86">
        <f>(B117*($B$12*$B$8))*($B$13/365)*('Barge - Liquid'!$B$65/24)*VLOOKUP(A117,NPV!$B$4:$D$44,2,0)</f>
        <v>2369.7881578135202</v>
      </c>
      <c r="N117" s="86">
        <f t="shared" si="25"/>
        <v>2799654.5384779233</v>
      </c>
      <c r="O117" s="86">
        <f t="shared" si="26"/>
        <v>1434963.9887600762</v>
      </c>
      <c r="P117" s="8"/>
      <c r="Q117" s="86">
        <f t="shared" si="27"/>
        <v>268051.74560863047</v>
      </c>
      <c r="R117" s="86">
        <f>$D117*HLOOKUP($A117,$A$31:$Y$36,2,FALSE)*HLOOKUP($A117,$A$37:$Y$42,2,FALSE)*VLOOKUP($A117,NPV!$B$3:$D$44,3,0)</f>
        <v>173386.33274142831</v>
      </c>
      <c r="S117" s="86">
        <f>$D117*HLOOKUP($A117,$A$31:$Y$36,3,FALSE)*HLOOKUP($A117,$A$37:$Y$42,3,FALSE)*VLOOKUP($A117,NPV!$B$3:$C$44,2,0)</f>
        <v>0</v>
      </c>
      <c r="T117" s="86">
        <f>$D117*HLOOKUP($A117,$A$31:$Y$36,3,FALSE)*HLOOKUP($A117,$A$37:$Y$42,3,FALSE)*VLOOKUP($A117,NPV!$B$3:$C$44,2,0)*VLOOKUP($A117,NPV!$B$3:$C$44,2,0)</f>
        <v>0</v>
      </c>
      <c r="U117" s="86">
        <f t="shared" si="28"/>
        <v>0</v>
      </c>
      <c r="V117" s="86">
        <f>$D117*HLOOKUP($A117,$A$31:$Y$36,4,FALSE)*HLOOKUP($A117,$A$37:$Y$42,4,FALSE)*VLOOKUP($A117,NPV!$B$3:$C$44,2,0)</f>
        <v>0</v>
      </c>
      <c r="W117" s="86">
        <f t="shared" si="29"/>
        <v>0</v>
      </c>
      <c r="X117" s="86">
        <f>$D117*HLOOKUP($A117,$A$31:$Y$36,5,FALSE)*HLOOKUP($A117,$A$37:$Y$42,5,FALSE)*VLOOKUP($A117,NPV!$B$3:$C$44,2,0)</f>
        <v>0</v>
      </c>
      <c r="Y117" s="86">
        <f t="shared" si="30"/>
        <v>268051.74560863047</v>
      </c>
      <c r="Z117" s="86">
        <f t="shared" si="31"/>
        <v>173386.33274142831</v>
      </c>
      <c r="AB117" s="86">
        <f>$B$11*$F$55*'Inputs &amp; Parameters'!$B$45</f>
        <v>1463.4359431952466</v>
      </c>
      <c r="AC117" s="86">
        <f>$B$11*$F$55*'Inputs &amp; Parameters'!$B$45*VLOOKUP($A117,NPV!$B$3:$C$44,2,0)</f>
        <v>747.62373610101724</v>
      </c>
      <c r="AD117" s="86">
        <f>$B$11*$E$55*'Inputs &amp; Parameters'!$B$44</f>
        <v>28169.18724513644</v>
      </c>
      <c r="AE117" s="86">
        <f>$B$11*$E$55*'Inputs &amp; Parameters'!$B$44*VLOOKUP($A117,NPV!$B$3:$C$44,2,0)</f>
        <v>14390.758344472531</v>
      </c>
      <c r="AF117" s="86">
        <f t="shared" si="32"/>
        <v>29632.623188331687</v>
      </c>
      <c r="AG117" s="86">
        <f t="shared" si="33"/>
        <v>15138.382080573549</v>
      </c>
      <c r="AI117" s="16">
        <f t="shared" si="20"/>
        <v>3097338.9072748856</v>
      </c>
      <c r="AJ117" s="16">
        <f t="shared" si="21"/>
        <v>1623488.7035820782</v>
      </c>
    </row>
    <row r="118" spans="1:36" x14ac:dyDescent="0.25">
      <c r="A118" s="5">
        <f t="shared" si="22"/>
        <v>2045</v>
      </c>
      <c r="B118" s="85">
        <f>'Barge - Liquid'!$B$9*12</f>
        <v>259.66954545454547</v>
      </c>
      <c r="C118" s="10">
        <f>B118*'Inputs &amp; Parameters'!$C$20/60</f>
        <v>4674.0518181818188</v>
      </c>
      <c r="D118" s="10">
        <f>B118*'Inputs &amp; Parameters'!$B$20</f>
        <v>34065.750865891372</v>
      </c>
      <c r="F118" s="86">
        <f>(($B$10/$B$21)*'Inputs &amp; Parameters'!$B$7 + ('Barge - Liquid'!$B$68/'Barge - Liquid'!$B$67)*'Barge - Liquid'!$B$69)</f>
        <v>1713925.3452709387</v>
      </c>
      <c r="G118" s="86">
        <f>(($B$10/$B$21)*'Inputs &amp; Parameters'!$B$7 + ('Barge - Liquid'!$B$68/'Barge - Liquid'!$B$67)*'Barge - Liquid'!$B$69)*VLOOKUP(A118,NPV!$B$4:$D$44,2,0)</f>
        <v>849263.7745358937</v>
      </c>
      <c r="H118" s="86">
        <f t="shared" si="23"/>
        <v>1032965.451818182</v>
      </c>
      <c r="I118" s="86">
        <f>SUM(($B$5-1)*C118*$B$7,1*C118*$B$6)*VLOOKUP(A118,NPV!$B$4:$D$44,2,0)</f>
        <v>511842.67797708896</v>
      </c>
      <c r="J118" s="86">
        <f t="shared" si="24"/>
        <v>48125</v>
      </c>
      <c r="K118" s="86">
        <f>($B$61*0.25)+($B$63*0.5)*VLOOKUP(A118,NPV!$B$4:$D$44,2,0)</f>
        <v>28702.059225390702</v>
      </c>
      <c r="L118" s="86">
        <f>(B118*($B$12*$B$8))*($B$13/365)*('Barge - Liquid'!$B$65/24)</f>
        <v>4638.7413888022438</v>
      </c>
      <c r="M118" s="86">
        <f>(B118*($B$12*$B$8))*($B$13/365)*('Barge - Liquid'!$B$65/24)*VLOOKUP(A118,NPV!$B$4:$D$44,2,0)</f>
        <v>2298.5336157260135</v>
      </c>
      <c r="N118" s="86">
        <f t="shared" si="25"/>
        <v>2799654.5384779233</v>
      </c>
      <c r="O118" s="86">
        <f t="shared" si="26"/>
        <v>1392107.0453540995</v>
      </c>
      <c r="P118" s="8"/>
      <c r="Q118" s="86">
        <f t="shared" si="27"/>
        <v>271840.46286104928</v>
      </c>
      <c r="R118" s="86">
        <f>$D118*HLOOKUP($A118,$A$31:$Y$36,2,FALSE)*HLOOKUP($A118,$A$37:$Y$42,2,FALSE)*VLOOKUP($A118,NPV!$B$3:$D$44,3,0)</f>
        <v>172389.23819299499</v>
      </c>
      <c r="S118" s="86">
        <f>$D118*HLOOKUP($A118,$A$31:$Y$36,3,FALSE)*HLOOKUP($A118,$A$37:$Y$42,3,FALSE)*VLOOKUP($A118,NPV!$B$3:$C$44,2,0)</f>
        <v>0</v>
      </c>
      <c r="T118" s="86">
        <f>$D118*HLOOKUP($A118,$A$31:$Y$36,3,FALSE)*HLOOKUP($A118,$A$37:$Y$42,3,FALSE)*VLOOKUP($A118,NPV!$B$3:$C$44,2,0)*VLOOKUP($A118,NPV!$B$3:$C$44,2,0)</f>
        <v>0</v>
      </c>
      <c r="U118" s="86">
        <f t="shared" si="28"/>
        <v>0</v>
      </c>
      <c r="V118" s="86">
        <f>$D118*HLOOKUP($A118,$A$31:$Y$36,4,FALSE)*HLOOKUP($A118,$A$37:$Y$42,4,FALSE)*VLOOKUP($A118,NPV!$B$3:$C$44,2,0)</f>
        <v>0</v>
      </c>
      <c r="W118" s="86">
        <f t="shared" si="29"/>
        <v>0</v>
      </c>
      <c r="X118" s="86">
        <f>$D118*HLOOKUP($A118,$A$31:$Y$36,5,FALSE)*HLOOKUP($A118,$A$37:$Y$42,5,FALSE)*VLOOKUP($A118,NPV!$B$3:$C$44,2,0)</f>
        <v>0</v>
      </c>
      <c r="Y118" s="86">
        <f t="shared" si="30"/>
        <v>271840.46286104928</v>
      </c>
      <c r="Z118" s="86">
        <f t="shared" si="31"/>
        <v>172389.23819299499</v>
      </c>
      <c r="AB118" s="86">
        <f>$B$11*$F$55*'Inputs &amp; Parameters'!$B$45</f>
        <v>1463.4359431952466</v>
      </c>
      <c r="AC118" s="86">
        <f>$B$11*$F$55*'Inputs &amp; Parameters'!$B$45*VLOOKUP($A118,NPV!$B$3:$C$44,2,0)</f>
        <v>725.14426391951224</v>
      </c>
      <c r="AD118" s="86">
        <f>$B$11*$E$55*'Inputs &amp; Parameters'!$B$44</f>
        <v>28169.18724513644</v>
      </c>
      <c r="AE118" s="86">
        <f>$B$11*$E$55*'Inputs &amp; Parameters'!$B$44*VLOOKUP($A118,NPV!$B$3:$C$44,2,0)</f>
        <v>13958.058530041253</v>
      </c>
      <c r="AF118" s="86">
        <f t="shared" si="32"/>
        <v>29632.623188331687</v>
      </c>
      <c r="AG118" s="86">
        <f t="shared" si="33"/>
        <v>14683.202793960765</v>
      </c>
      <c r="AI118" s="16">
        <f t="shared" si="20"/>
        <v>3101127.6245273044</v>
      </c>
      <c r="AJ118" s="16">
        <f t="shared" si="21"/>
        <v>1579179.4863410552</v>
      </c>
    </row>
    <row r="119" spans="1:36" x14ac:dyDescent="0.25">
      <c r="A119" s="5">
        <f t="shared" si="22"/>
        <v>2046</v>
      </c>
      <c r="B119" s="85">
        <f>'Barge - Liquid'!$B$9*12</f>
        <v>259.66954545454547</v>
      </c>
      <c r="C119" s="10">
        <f>B119*'Inputs &amp; Parameters'!$C$20/60</f>
        <v>4674.0518181818188</v>
      </c>
      <c r="D119" s="10">
        <f>B119*'Inputs &amp; Parameters'!$B$20</f>
        <v>34065.750865891372</v>
      </c>
      <c r="F119" s="86">
        <f>(($B$10/$B$21)*'Inputs &amp; Parameters'!$B$7 + ('Barge - Liquid'!$B$68/'Barge - Liquid'!$B$67)*'Barge - Liquid'!$B$69)</f>
        <v>1713925.3452709387</v>
      </c>
      <c r="G119" s="86">
        <f>(($B$10/$B$21)*'Inputs &amp; Parameters'!$B$7 + ('Barge - Liquid'!$B$68/'Barge - Liquid'!$B$67)*'Barge - Liquid'!$B$69)*VLOOKUP(A119,NPV!$B$4:$D$44,2,0)</f>
        <v>823728.20032579417</v>
      </c>
      <c r="H119" s="86">
        <f t="shared" si="23"/>
        <v>1032965.451818182</v>
      </c>
      <c r="I119" s="86">
        <f>SUM(($B$5-1)*C119*$B$7,1*C119*$B$6)*VLOOKUP(A119,NPV!$B$4:$D$44,2,0)</f>
        <v>496452.64595255966</v>
      </c>
      <c r="J119" s="86">
        <f t="shared" si="24"/>
        <v>48125</v>
      </c>
      <c r="K119" s="86">
        <f>($B$61*0.25)+($B$63*0.5)*VLOOKUP(A119,NPV!$B$4:$D$44,2,0)</f>
        <v>28128.452206974496</v>
      </c>
      <c r="L119" s="86">
        <f>(B119*($B$12*$B$8))*($B$13/365)*('Barge - Liquid'!$B$65/24)</f>
        <v>4638.7413888022438</v>
      </c>
      <c r="M119" s="86">
        <f>(B119*($B$12*$B$8))*($B$13/365)*('Barge - Liquid'!$B$65/24)*VLOOKUP(A119,NPV!$B$4:$D$44,2,0)</f>
        <v>2229.4215477458915</v>
      </c>
      <c r="N119" s="86">
        <f t="shared" si="25"/>
        <v>2799654.5384779233</v>
      </c>
      <c r="O119" s="86">
        <f t="shared" si="26"/>
        <v>1350538.720033074</v>
      </c>
      <c r="P119" s="8"/>
      <c r="Q119" s="86">
        <f t="shared" si="27"/>
        <v>275629.18011346814</v>
      </c>
      <c r="R119" s="86">
        <f>$D119*HLOOKUP($A119,$A$31:$Y$36,2,FALSE)*HLOOKUP($A119,$A$37:$Y$42,2,FALSE)*VLOOKUP($A119,NPV!$B$3:$D$44,3,0)</f>
        <v>171364.58397950928</v>
      </c>
      <c r="S119" s="86">
        <f>$D119*HLOOKUP($A119,$A$31:$Y$36,3,FALSE)*HLOOKUP($A119,$A$37:$Y$42,3,FALSE)*VLOOKUP($A119,NPV!$B$3:$C$44,2,0)</f>
        <v>0</v>
      </c>
      <c r="T119" s="86">
        <f>$D119*HLOOKUP($A119,$A$31:$Y$36,3,FALSE)*HLOOKUP($A119,$A$37:$Y$42,3,FALSE)*VLOOKUP($A119,NPV!$B$3:$C$44,2,0)*VLOOKUP($A119,NPV!$B$3:$C$44,2,0)</f>
        <v>0</v>
      </c>
      <c r="U119" s="86">
        <f t="shared" si="28"/>
        <v>0</v>
      </c>
      <c r="V119" s="86">
        <f>$D119*HLOOKUP($A119,$A$31:$Y$36,4,FALSE)*HLOOKUP($A119,$A$37:$Y$42,4,FALSE)*VLOOKUP($A119,NPV!$B$3:$C$44,2,0)</f>
        <v>0</v>
      </c>
      <c r="W119" s="86">
        <f t="shared" si="29"/>
        <v>0</v>
      </c>
      <c r="X119" s="86">
        <f>$D119*HLOOKUP($A119,$A$31:$Y$36,5,FALSE)*HLOOKUP($A119,$A$37:$Y$42,5,FALSE)*VLOOKUP($A119,NPV!$B$3:$C$44,2,0)</f>
        <v>0</v>
      </c>
      <c r="Y119" s="86">
        <f t="shared" si="30"/>
        <v>275629.18011346814</v>
      </c>
      <c r="Z119" s="86">
        <f t="shared" si="31"/>
        <v>171364.58397950928</v>
      </c>
      <c r="AB119" s="86">
        <f>$B$11*$F$55*'Inputs &amp; Parameters'!$B$45</f>
        <v>1463.4359431952466</v>
      </c>
      <c r="AC119" s="86">
        <f>$B$11*$F$55*'Inputs &amp; Parameters'!$B$45*VLOOKUP($A119,NPV!$B$3:$C$44,2,0)</f>
        <v>703.34070215277632</v>
      </c>
      <c r="AD119" s="86">
        <f>$B$11*$E$55*'Inputs &amp; Parameters'!$B$44</f>
        <v>28169.18724513644</v>
      </c>
      <c r="AE119" s="86">
        <f>$B$11*$E$55*'Inputs &amp; Parameters'!$B$44*VLOOKUP($A119,NPV!$B$3:$C$44,2,0)</f>
        <v>13538.369088303836</v>
      </c>
      <c r="AF119" s="86">
        <f t="shared" si="32"/>
        <v>29632.623188331687</v>
      </c>
      <c r="AG119" s="86">
        <f t="shared" si="33"/>
        <v>14241.709790456613</v>
      </c>
      <c r="AI119" s="16">
        <f t="shared" si="20"/>
        <v>3104916.3417797233</v>
      </c>
      <c r="AJ119" s="16">
        <f t="shared" si="21"/>
        <v>1536145.0138030399</v>
      </c>
    </row>
    <row r="120" spans="1:36" x14ac:dyDescent="0.25">
      <c r="A120" s="5">
        <f t="shared" si="22"/>
        <v>2047</v>
      </c>
      <c r="B120" s="85">
        <f>'Barge - Liquid'!$B$9*12</f>
        <v>259.66954545454547</v>
      </c>
      <c r="C120" s="10">
        <f>B120*'Inputs &amp; Parameters'!$C$20/60</f>
        <v>4674.0518181818188</v>
      </c>
      <c r="D120" s="10">
        <f>B120*'Inputs &amp; Parameters'!$B$20</f>
        <v>34065.750865891372</v>
      </c>
      <c r="F120" s="86">
        <f>(($B$10/$B$21)*'Inputs &amp; Parameters'!$B$7 + ('Barge - Liquid'!$B$68/'Barge - Liquid'!$B$67)*'Barge - Liquid'!$B$69)</f>
        <v>1713925.3452709387</v>
      </c>
      <c r="G120" s="86">
        <f>(($B$10/$B$21)*'Inputs &amp; Parameters'!$B$7 + ('Barge - Liquid'!$B$68/'Barge - Liquid'!$B$67)*'Barge - Liquid'!$B$69)*VLOOKUP(A120,NPV!$B$4:$D$44,2,0)</f>
        <v>798960.42708612431</v>
      </c>
      <c r="H120" s="86">
        <f t="shared" si="23"/>
        <v>1032965.451818182</v>
      </c>
      <c r="I120" s="86">
        <f>SUM(($B$5-1)*C120*$B$7,1*C120*$B$6)*VLOOKUP(A120,NPV!$B$4:$D$44,2,0)</f>
        <v>481525.35979879694</v>
      </c>
      <c r="J120" s="86">
        <f t="shared" si="24"/>
        <v>48125</v>
      </c>
      <c r="K120" s="86">
        <f>($B$61*0.25)+($B$63*0.5)*VLOOKUP(A120,NPV!$B$4:$D$44,2,0)</f>
        <v>27572.09234430116</v>
      </c>
      <c r="L120" s="86">
        <f>(B120*($B$12*$B$8))*($B$13/365)*('Barge - Liquid'!$B$65/24)</f>
        <v>4638.7413888022438</v>
      </c>
      <c r="M120" s="86">
        <f>(B120*($B$12*$B$8))*($B$13/365)*('Barge - Liquid'!$B$65/24)*VLOOKUP(A120,NPV!$B$4:$D$44,2,0)</f>
        <v>2162.3875341861217</v>
      </c>
      <c r="N120" s="86">
        <f t="shared" si="25"/>
        <v>2799654.5384779233</v>
      </c>
      <c r="O120" s="86">
        <f t="shared" si="26"/>
        <v>1310220.2667634082</v>
      </c>
      <c r="P120" s="8"/>
      <c r="Q120" s="86">
        <f t="shared" si="27"/>
        <v>280365.07667899161</v>
      </c>
      <c r="R120" s="86">
        <f>$D120*HLOOKUP($A120,$A$31:$Y$36,2,FALSE)*HLOOKUP($A120,$A$37:$Y$42,2,FALSE)*VLOOKUP($A120,NPV!$B$3:$D$44,3,0)</f>
        <v>170891.16925387355</v>
      </c>
      <c r="S120" s="86">
        <f>$D120*HLOOKUP($A120,$A$31:$Y$36,3,FALSE)*HLOOKUP($A120,$A$37:$Y$42,3,FALSE)*VLOOKUP($A120,NPV!$B$3:$C$44,2,0)</f>
        <v>0</v>
      </c>
      <c r="T120" s="86">
        <f>$D120*HLOOKUP($A120,$A$31:$Y$36,3,FALSE)*HLOOKUP($A120,$A$37:$Y$42,3,FALSE)*VLOOKUP($A120,NPV!$B$3:$C$44,2,0)*VLOOKUP($A120,NPV!$B$3:$C$44,2,0)</f>
        <v>0</v>
      </c>
      <c r="U120" s="86">
        <f t="shared" si="28"/>
        <v>0</v>
      </c>
      <c r="V120" s="86">
        <f>$D120*HLOOKUP($A120,$A$31:$Y$36,4,FALSE)*HLOOKUP($A120,$A$37:$Y$42,4,FALSE)*VLOOKUP($A120,NPV!$B$3:$C$44,2,0)</f>
        <v>0</v>
      </c>
      <c r="W120" s="86">
        <f t="shared" si="29"/>
        <v>0</v>
      </c>
      <c r="X120" s="86">
        <f>$D120*HLOOKUP($A120,$A$31:$Y$36,5,FALSE)*HLOOKUP($A120,$A$37:$Y$42,5,FALSE)*VLOOKUP($A120,NPV!$B$3:$C$44,2,0)</f>
        <v>0</v>
      </c>
      <c r="Y120" s="86">
        <f t="shared" si="30"/>
        <v>280365.07667899161</v>
      </c>
      <c r="Z120" s="86">
        <f t="shared" si="31"/>
        <v>170891.16925387355</v>
      </c>
      <c r="AB120" s="86">
        <f>$B$11*$F$55*'Inputs &amp; Parameters'!$B$45</f>
        <v>1463.4359431952466</v>
      </c>
      <c r="AC120" s="86">
        <f>$B$11*$F$55*'Inputs &amp; Parameters'!$B$45*VLOOKUP($A120,NPV!$B$3:$C$44,2,0)</f>
        <v>682.1927275972613</v>
      </c>
      <c r="AD120" s="86">
        <f>$B$11*$E$55*'Inputs &amp; Parameters'!$B$44</f>
        <v>28169.18724513644</v>
      </c>
      <c r="AE120" s="86">
        <f>$B$11*$E$55*'Inputs &amp; Parameters'!$B$44*VLOOKUP($A120,NPV!$B$3:$C$44,2,0)</f>
        <v>13131.298824736989</v>
      </c>
      <c r="AF120" s="86">
        <f t="shared" si="32"/>
        <v>29632.623188331687</v>
      </c>
      <c r="AG120" s="86">
        <f t="shared" si="33"/>
        <v>13813.49155233425</v>
      </c>
      <c r="AI120" s="16">
        <f t="shared" si="20"/>
        <v>3109652.2383452468</v>
      </c>
      <c r="AJ120" s="16">
        <f t="shared" si="21"/>
        <v>1494924.9275696161</v>
      </c>
    </row>
    <row r="121" spans="1:36" x14ac:dyDescent="0.25">
      <c r="A121" s="88" t="s">
        <v>44</v>
      </c>
      <c r="B121" s="37">
        <f>SUBTOTAL(9,B101:B120)</f>
        <v>5193.3909090909092</v>
      </c>
      <c r="C121" s="37">
        <f>SUBTOTAL(9,C101:C120)</f>
        <v>93481.036363636376</v>
      </c>
      <c r="D121" s="37">
        <f>SUBTOTAL(9,D101:D120)</f>
        <v>681315.01731782709</v>
      </c>
      <c r="F121" s="39">
        <f t="shared" ref="F121:N121" si="34">SUBTOTAL(9,F101:F120)</f>
        <v>34278506.905418776</v>
      </c>
      <c r="G121" s="39">
        <f t="shared" si="34"/>
        <v>21688082.595603403</v>
      </c>
      <c r="H121" s="39">
        <f t="shared" si="34"/>
        <v>20659309.036363639</v>
      </c>
      <c r="I121" s="39">
        <f t="shared" si="34"/>
        <v>13071187.784959229</v>
      </c>
      <c r="J121" s="39">
        <f t="shared" si="34"/>
        <v>962500</v>
      </c>
      <c r="K121" s="39">
        <f t="shared" si="34"/>
        <v>679680.6010889787</v>
      </c>
      <c r="L121" s="39">
        <f t="shared" si="34"/>
        <v>92774.827776044855</v>
      </c>
      <c r="M121" s="39">
        <f t="shared" si="34"/>
        <v>58698.826443974038</v>
      </c>
      <c r="N121" s="39">
        <f t="shared" si="34"/>
        <v>55993090.769558437</v>
      </c>
      <c r="O121" s="39">
        <f>SUBTOTAL(9,O101:O120)</f>
        <v>35497649.808095589</v>
      </c>
      <c r="P121" s="40"/>
      <c r="Q121" s="39">
        <f t="shared" ref="Q121:Y121" si="35">SUBTOTAL(9,Q101:Q120)</f>
        <v>4890286.7935595727</v>
      </c>
      <c r="R121" s="39">
        <f t="shared" si="35"/>
        <v>3586219.0401351852</v>
      </c>
      <c r="S121" s="39">
        <f t="shared" si="35"/>
        <v>0</v>
      </c>
      <c r="T121" s="39">
        <f t="shared" si="35"/>
        <v>0</v>
      </c>
      <c r="U121" s="39">
        <f t="shared" si="35"/>
        <v>0</v>
      </c>
      <c r="V121" s="39">
        <f t="shared" si="35"/>
        <v>0</v>
      </c>
      <c r="W121" s="39">
        <f t="shared" si="35"/>
        <v>0</v>
      </c>
      <c r="X121" s="39">
        <f t="shared" si="35"/>
        <v>0</v>
      </c>
      <c r="Y121" s="39">
        <f t="shared" si="35"/>
        <v>4890286.7935595727</v>
      </c>
      <c r="Z121" s="39">
        <f>SUBTOTAL(9,Z101:Z120)</f>
        <v>3586219.0401351852</v>
      </c>
      <c r="AA121" s="1"/>
      <c r="AB121" s="39">
        <f t="shared" ref="AB121:AF121" si="36">SUBTOTAL(9,AB101:AB120)</f>
        <v>29268.718863904938</v>
      </c>
      <c r="AC121" s="39">
        <f t="shared" si="36"/>
        <v>18518.379284703282</v>
      </c>
      <c r="AD121" s="39">
        <f t="shared" si="36"/>
        <v>563383.74490272871</v>
      </c>
      <c r="AE121" s="39">
        <f t="shared" si="36"/>
        <v>356454.06686424819</v>
      </c>
      <c r="AF121" s="39">
        <f t="shared" si="36"/>
        <v>592652.46376663365</v>
      </c>
      <c r="AG121" s="39">
        <f>SUBTOTAL(9,AG101:AG120)</f>
        <v>374972.44614895154</v>
      </c>
      <c r="AH121" s="1"/>
      <c r="AI121" s="39">
        <f>SUBTOTAL(9,AI101:AI120)</f>
        <v>61476030.02688469</v>
      </c>
      <c r="AJ121" s="39">
        <f>SUBTOTAL(9,AJ101:AJ120)</f>
        <v>39458841.294379719</v>
      </c>
    </row>
    <row r="124" spans="1:36" x14ac:dyDescent="0.25">
      <c r="L124" s="8"/>
    </row>
  </sheetData>
  <mergeCells count="6">
    <mergeCell ref="A57:F57"/>
    <mergeCell ref="A17:B17"/>
    <mergeCell ref="A47:B47"/>
    <mergeCell ref="C47:D47"/>
    <mergeCell ref="E47:F47"/>
    <mergeCell ref="A56:F56"/>
  </mergeCells>
  <hyperlinks>
    <hyperlink ref="A56" r:id="rId1" xr:uid="{D0A4E334-9FE5-400B-8184-D8B72AE859CE}"/>
    <hyperlink ref="B15" r:id="rId2" display="https://www.tredis.com/pdf/User_Docs/TREDIS6_Data_Sources_and_Default_Values.pdf" xr:uid="{F9BFE05D-C093-4B8A-A91C-414A6760BA0C}"/>
    <hyperlink ref="C18" r:id="rId3" display="https://www.tredis.com/pdf/User_Docs/TREDIS6_Data_Sources_and_Default_Values.pdf" xr:uid="{3906E210-41AA-4F2F-986D-BDABFDC948AF}"/>
    <hyperlink ref="C20" r:id="rId4" display="https://nationalwaterwaysfoundation.org/file/28/TTI 2022 FINAL Report 2001-2019 1.pdf" xr:uid="{1AEB4592-F5F0-4880-B9C6-38F0FB78BC3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BBC2E-8782-4FA9-9E9C-BFA5103BBE3C}">
  <sheetPr>
    <tabColor theme="9" tint="0.79998168889431442"/>
  </sheetPr>
  <dimension ref="A2:AK68"/>
  <sheetViews>
    <sheetView topLeftCell="G20" zoomScale="90" zoomScaleNormal="90" workbookViewId="0">
      <selection activeCell="F3" sqref="F3"/>
    </sheetView>
  </sheetViews>
  <sheetFormatPr defaultRowHeight="15" x14ac:dyDescent="0.25"/>
  <cols>
    <col min="1" max="1" width="27.28515625" customWidth="1"/>
    <col min="2" max="2" width="19.42578125" bestFit="1" customWidth="1"/>
    <col min="3" max="3" width="10.28515625" bestFit="1" customWidth="1"/>
    <col min="4" max="4" width="14.28515625" customWidth="1"/>
    <col min="5" max="5" width="10.7109375" customWidth="1"/>
    <col min="6" max="13" width="15.7109375" customWidth="1"/>
    <col min="15" max="32" width="15.7109375" customWidth="1"/>
  </cols>
  <sheetData>
    <row r="2" spans="1:9" x14ac:dyDescent="0.25">
      <c r="A2" s="14" t="s">
        <v>122</v>
      </c>
      <c r="B2" s="13"/>
      <c r="G2" s="131"/>
    </row>
    <row r="3" spans="1:9" ht="45" x14ac:dyDescent="0.25">
      <c r="A3" s="87" t="s">
        <v>314</v>
      </c>
      <c r="B3" s="18">
        <f>'Capital Costs'!B5</f>
        <v>2028</v>
      </c>
      <c r="G3" s="132"/>
    </row>
    <row r="4" spans="1:9" ht="30" x14ac:dyDescent="0.25">
      <c r="A4" s="87" t="s">
        <v>313</v>
      </c>
      <c r="B4" s="18">
        <f>'Inputs &amp; Parameters'!B19</f>
        <v>140.80000000000001</v>
      </c>
      <c r="G4" s="132"/>
    </row>
    <row r="5" spans="1:9" x14ac:dyDescent="0.25">
      <c r="A5" s="5" t="s">
        <v>123</v>
      </c>
      <c r="B5" s="18">
        <v>25</v>
      </c>
      <c r="G5" s="132"/>
    </row>
    <row r="6" spans="1:9" ht="45" x14ac:dyDescent="0.25">
      <c r="A6" s="87" t="s">
        <v>305</v>
      </c>
      <c r="B6" s="47">
        <f>ROUNDDOWN('Inputs &amp; Parameters'!$B$15*'Inputs &amp; Parameters'!B22/'Truck Diversion (No Build)- Dry'!$B$5/52,0)</f>
        <v>258</v>
      </c>
      <c r="C6" t="s">
        <v>218</v>
      </c>
      <c r="G6" s="132"/>
    </row>
    <row r="7" spans="1:9" ht="45" x14ac:dyDescent="0.25">
      <c r="A7" s="87" t="s">
        <v>306</v>
      </c>
      <c r="B7" s="47">
        <f>ROUNDDOWN('Inputs &amp; Parameters'!$E$15*'Inputs &amp; Parameters'!B22/'Truck Diversion (No Build)- Dry'!$B$5/52,0)</f>
        <v>282</v>
      </c>
      <c r="C7" t="s">
        <v>218</v>
      </c>
      <c r="G7" s="132"/>
      <c r="H7" s="74"/>
      <c r="I7" s="26"/>
    </row>
    <row r="8" spans="1:9" x14ac:dyDescent="0.25">
      <c r="A8" s="5" t="s">
        <v>124</v>
      </c>
      <c r="B8" s="18">
        <v>1</v>
      </c>
      <c r="G8" s="132"/>
    </row>
    <row r="9" spans="1:9" x14ac:dyDescent="0.25">
      <c r="A9" s="31" t="s">
        <v>125</v>
      </c>
      <c r="B9" s="3">
        <v>33.5</v>
      </c>
      <c r="C9" t="s">
        <v>210</v>
      </c>
      <c r="G9" s="132"/>
    </row>
    <row r="10" spans="1:9" ht="13.9" customHeight="1" x14ac:dyDescent="0.25">
      <c r="G10" s="132"/>
    </row>
    <row r="11" spans="1:9" x14ac:dyDescent="0.25">
      <c r="A11" s="59" t="s">
        <v>129</v>
      </c>
      <c r="B11" s="15" t="s">
        <v>128</v>
      </c>
      <c r="C11" s="15" t="s">
        <v>30</v>
      </c>
    </row>
    <row r="12" spans="1:9" x14ac:dyDescent="0.25">
      <c r="A12" s="5" t="s">
        <v>130</v>
      </c>
      <c r="B12" s="63">
        <v>0.23599999999999999</v>
      </c>
      <c r="C12" s="5" t="s">
        <v>279</v>
      </c>
    </row>
    <row r="13" spans="1:9" x14ac:dyDescent="0.25">
      <c r="A13" s="5" t="s">
        <v>131</v>
      </c>
      <c r="B13" s="63">
        <v>2.1999999999999999E-2</v>
      </c>
      <c r="C13" s="5" t="s">
        <v>279</v>
      </c>
    </row>
    <row r="14" spans="1:9" x14ac:dyDescent="0.25">
      <c r="A14" s="5" t="s">
        <v>46</v>
      </c>
      <c r="B14" s="63">
        <v>2.1000000000000001E-2</v>
      </c>
      <c r="C14" s="5" t="s">
        <v>279</v>
      </c>
    </row>
    <row r="15" spans="1:9" x14ac:dyDescent="0.25">
      <c r="A15" s="5" t="s">
        <v>132</v>
      </c>
      <c r="B15" s="63">
        <v>3.5000000000000003E-2</v>
      </c>
      <c r="C15" s="5" t="s">
        <v>279</v>
      </c>
    </row>
    <row r="16" spans="1:9" x14ac:dyDescent="0.25">
      <c r="A16" s="5" t="s">
        <v>133</v>
      </c>
      <c r="B16" s="63">
        <v>0.30099999999999999</v>
      </c>
      <c r="C16" s="5" t="s">
        <v>279</v>
      </c>
    </row>
    <row r="17" spans="1:37" x14ac:dyDescent="0.25">
      <c r="A17" s="31" t="s">
        <v>134</v>
      </c>
      <c r="B17" s="75">
        <v>1.32</v>
      </c>
      <c r="C17" s="64" t="s">
        <v>280</v>
      </c>
    </row>
    <row r="18" spans="1:37" x14ac:dyDescent="0.25">
      <c r="A18" s="5" t="s">
        <v>173</v>
      </c>
      <c r="B18" s="63">
        <v>0.05</v>
      </c>
      <c r="C18" s="64" t="s">
        <v>45</v>
      </c>
    </row>
    <row r="19" spans="1:37" x14ac:dyDescent="0.25">
      <c r="B19" s="69"/>
    </row>
    <row r="20" spans="1:37" ht="20.25" thickBot="1" x14ac:dyDescent="0.35">
      <c r="A20" s="19" t="s">
        <v>304</v>
      </c>
    </row>
    <row r="21" spans="1:37" ht="15.75" thickTop="1" x14ac:dyDescent="0.25">
      <c r="F21" s="183" t="s">
        <v>138</v>
      </c>
      <c r="G21" s="184"/>
      <c r="H21" s="184"/>
      <c r="I21" s="184"/>
      <c r="J21" s="184"/>
      <c r="K21" s="184"/>
      <c r="L21" s="184"/>
      <c r="M21" s="185"/>
      <c r="N21" s="7"/>
      <c r="O21" s="183" t="s">
        <v>185</v>
      </c>
      <c r="P21" s="184"/>
      <c r="Q21" s="184"/>
      <c r="R21" s="184"/>
      <c r="S21" s="184"/>
      <c r="T21" s="185"/>
      <c r="V21" s="183" t="s">
        <v>129</v>
      </c>
      <c r="W21" s="184"/>
      <c r="X21" s="184"/>
      <c r="Y21" s="184"/>
      <c r="Z21" s="184"/>
      <c r="AA21" s="184"/>
      <c r="AB21" s="184"/>
      <c r="AC21" s="185"/>
    </row>
    <row r="22" spans="1:37" s="74" customFormat="1" ht="45" x14ac:dyDescent="0.25">
      <c r="A22" s="15" t="s">
        <v>80</v>
      </c>
      <c r="B22" s="15" t="s">
        <v>384</v>
      </c>
      <c r="C22" s="15" t="s">
        <v>136</v>
      </c>
      <c r="D22" s="15" t="s">
        <v>137</v>
      </c>
      <c r="E22" s="134"/>
      <c r="F22" s="15" t="s">
        <v>138</v>
      </c>
      <c r="G22" s="15" t="s">
        <v>317</v>
      </c>
      <c r="H22" s="15" t="s">
        <v>325</v>
      </c>
      <c r="I22" s="135" t="s">
        <v>318</v>
      </c>
      <c r="J22" s="135" t="s">
        <v>139</v>
      </c>
      <c r="K22" s="15" t="s">
        <v>319</v>
      </c>
      <c r="L22" s="15" t="s">
        <v>44</v>
      </c>
      <c r="M22" s="15" t="s">
        <v>141</v>
      </c>
      <c r="N22" s="134"/>
      <c r="O22" s="15" t="s">
        <v>94</v>
      </c>
      <c r="P22" s="15" t="s">
        <v>320</v>
      </c>
      <c r="Q22" s="15" t="s">
        <v>172</v>
      </c>
      <c r="R22" s="15" t="s">
        <v>321</v>
      </c>
      <c r="S22" s="15" t="s">
        <v>44</v>
      </c>
      <c r="T22" s="15" t="s">
        <v>141</v>
      </c>
      <c r="V22" s="15" t="s">
        <v>130</v>
      </c>
      <c r="W22" s="15" t="s">
        <v>322</v>
      </c>
      <c r="X22" s="15" t="s">
        <v>131</v>
      </c>
      <c r="Y22" s="15" t="s">
        <v>323</v>
      </c>
      <c r="Z22" s="15" t="s">
        <v>46</v>
      </c>
      <c r="AA22" s="15" t="s">
        <v>324</v>
      </c>
      <c r="AB22" s="15" t="s">
        <v>44</v>
      </c>
      <c r="AC22" s="15" t="s">
        <v>141</v>
      </c>
      <c r="AE22" s="15" t="s">
        <v>44</v>
      </c>
      <c r="AF22" s="15" t="s">
        <v>141</v>
      </c>
    </row>
    <row r="23" spans="1:37" x14ac:dyDescent="0.25">
      <c r="A23" s="5">
        <f>B3</f>
        <v>2028</v>
      </c>
      <c r="B23" s="10">
        <f>$B$6*52</f>
        <v>13416</v>
      </c>
      <c r="C23" s="10">
        <f>B23*'Inputs &amp; Parameters'!$C$19/60</f>
        <v>49192</v>
      </c>
      <c r="D23" s="10">
        <f>B23*'Inputs &amp; Parameters'!$B$19</f>
        <v>1888972.8</v>
      </c>
      <c r="E23" s="9"/>
      <c r="F23" s="16">
        <f>D23*$B$17</f>
        <v>2493444.0960000004</v>
      </c>
      <c r="G23" s="16">
        <f>D23*$B$17*VLOOKUP($A23,NPV!$B$3:$D$44,2,0)</f>
        <v>2076097.014470048</v>
      </c>
      <c r="H23" s="16">
        <f>C23*'Truck Diversion (No Build)- Dry'!$B$9*$B$8</f>
        <v>1647932</v>
      </c>
      <c r="I23" s="16">
        <f>C23*'Truck Diversion (No Build)- Dry'!$B$9*$B$8*VLOOKUP($A23,NPV!$B$3:$D$44,2,0)</f>
        <v>1372104.8371359415</v>
      </c>
      <c r="J23" s="16">
        <f>D23*'Truck Diversion (No Build)- Dry'!$B$18</f>
        <v>94448.640000000014</v>
      </c>
      <c r="K23" s="16">
        <f>D23*'Truck Diversion (No Build)- Dry'!$B$18*VLOOKUP($A23,NPV!$B$3:$D$44,2,0)</f>
        <v>78640.038426895757</v>
      </c>
      <c r="L23" s="16">
        <f>SUM(F23,H23,J23)</f>
        <v>4235824.7360000005</v>
      </c>
      <c r="M23" s="16">
        <f>SUM(G23,I23,K23)</f>
        <v>3526841.8900328851</v>
      </c>
      <c r="N23" s="8"/>
      <c r="O23" s="16">
        <f>D23*$B$16</f>
        <v>568580.81279999996</v>
      </c>
      <c r="P23" s="16">
        <f>D23*$B$16*VLOOKUP($A23,NPV!$B$3:$D$44,3,0)</f>
        <v>504883.49022656446</v>
      </c>
      <c r="Q23" s="16">
        <f>D23*$B$15</f>
        <v>66114.04800000001</v>
      </c>
      <c r="R23" s="16">
        <f>D23*$B$15*VLOOKUP($A23,NPV!$B$3:$D$44,2,0)</f>
        <v>55048.026898827033</v>
      </c>
      <c r="S23" s="16">
        <f>SUM(O23,Q23)</f>
        <v>634694.86079999991</v>
      </c>
      <c r="T23" s="16">
        <f>SUM(P23,R23)</f>
        <v>559931.51712539152</v>
      </c>
      <c r="V23" s="16">
        <f>D23*$B$12</f>
        <v>445797.5808</v>
      </c>
      <c r="W23" s="16">
        <f>D23*$B$12*VLOOKUP($A23,NPV!$B$3:$D$44,2,0)</f>
        <v>371180.98137494794</v>
      </c>
      <c r="X23" s="16">
        <f>D23*$B$13</f>
        <v>41557.401599999997</v>
      </c>
      <c r="Y23" s="16">
        <f>D23*$B$13*VLOOKUP($A23,NPV!$B$3:$D$44,2,0)</f>
        <v>34601.616907834126</v>
      </c>
      <c r="Z23" s="16">
        <f>D23*$B$13</f>
        <v>41557.401599999997</v>
      </c>
      <c r="AA23" s="16">
        <f>D23*$B$14*VLOOKUP($A23,NPV!$B$3:$D$44,2,0)</f>
        <v>33028.816139296214</v>
      </c>
      <c r="AB23" s="16">
        <f>SUM(V23,X23,Z23)</f>
        <v>528912.38399999996</v>
      </c>
      <c r="AC23" s="16">
        <f>SUM(W23,Y23,AA23)</f>
        <v>438811.41442207829</v>
      </c>
      <c r="AE23" s="16">
        <f>SUM(L23,S23,AB23)</f>
        <v>5399431.9808</v>
      </c>
      <c r="AF23" s="16">
        <f>SUM(M23,T23,AC23)</f>
        <v>4525584.8215803551</v>
      </c>
      <c r="AI23" s="61"/>
      <c r="AJ23" s="61"/>
      <c r="AK23" s="61"/>
    </row>
    <row r="24" spans="1:37" x14ac:dyDescent="0.25">
      <c r="A24" s="5">
        <f>A23+1</f>
        <v>2029</v>
      </c>
      <c r="B24" s="10">
        <f t="shared" ref="B24:B42" si="0">$B$6*52</f>
        <v>13416</v>
      </c>
      <c r="C24" s="10">
        <f>B24*'Inputs &amp; Parameters'!$C$19/60</f>
        <v>49192</v>
      </c>
      <c r="D24" s="10">
        <f>B24*'Inputs &amp; Parameters'!$B$19</f>
        <v>1888972.8</v>
      </c>
      <c r="E24" s="9"/>
      <c r="F24" s="16">
        <f t="shared" ref="F24:F42" si="1">D24*$B$17</f>
        <v>2493444.0960000004</v>
      </c>
      <c r="G24" s="16">
        <f>D24*$B$17*VLOOKUP($A24,NPV!$B$3:$D$44,2,0)</f>
        <v>2013673.1469156628</v>
      </c>
      <c r="H24" s="16">
        <f>C24*'Truck Diversion (No Build)- Dry'!$B$9*$B$8</f>
        <v>1647932</v>
      </c>
      <c r="I24" s="16">
        <f>C24*'Truck Diversion (No Build)- Dry'!$B$9*$B$8*VLOOKUP($A24,NPV!$B$3:$D$44,2,0)</f>
        <v>1330848.5326245797</v>
      </c>
      <c r="J24" s="16">
        <f>D24*'Truck Diversion (No Build)- Dry'!$B$18</f>
        <v>94448.640000000014</v>
      </c>
      <c r="K24" s="16">
        <f>D24*'Truck Diversion (No Build)- Dry'!$B$18*VLOOKUP($A24,NPV!$B$3:$D$44,2,0)</f>
        <v>76275.497989229654</v>
      </c>
      <c r="L24" s="16">
        <f t="shared" ref="L24:L42" si="2">SUM(F24,H24,J24)</f>
        <v>4235824.7360000005</v>
      </c>
      <c r="M24" s="16">
        <f t="shared" ref="M24:M42" si="3">SUM(G24,I24,K24)</f>
        <v>3420797.1775294724</v>
      </c>
      <c r="N24" s="8"/>
      <c r="O24" s="16">
        <f t="shared" ref="O24:O42" si="4">D24*$B$16</f>
        <v>568580.81279999996</v>
      </c>
      <c r="P24" s="16">
        <f>D24*$B$16*VLOOKUP($A24,NPV!$B$3:$D$44,3,0)</f>
        <v>494983.8139476123</v>
      </c>
      <c r="Q24" s="16">
        <f t="shared" ref="Q24:Q42" si="5">D24*$B$15</f>
        <v>66114.04800000001</v>
      </c>
      <c r="R24" s="16">
        <f>D24*$B$15*VLOOKUP($A24,NPV!$B$3:$D$44,2,0)</f>
        <v>53392.848592460759</v>
      </c>
      <c r="S24" s="16">
        <f t="shared" ref="S24:S42" si="6">SUM(O24,Q24)</f>
        <v>634694.86079999991</v>
      </c>
      <c r="T24" s="16">
        <f t="shared" ref="T24:T42" si="7">SUM(P24,R24)</f>
        <v>548376.66254007304</v>
      </c>
      <c r="V24" s="16">
        <f t="shared" ref="V24:V42" si="8">D24*$B$12</f>
        <v>445797.5808</v>
      </c>
      <c r="W24" s="16">
        <f>D24*$B$12*VLOOKUP($A24,NPV!$B$3:$D$44,2,0)</f>
        <v>360020.35050916392</v>
      </c>
      <c r="X24" s="16">
        <f t="shared" ref="X24:X42" si="9">D24*$B$13</f>
        <v>41557.401599999997</v>
      </c>
      <c r="Y24" s="16">
        <f>D24*$B$13*VLOOKUP($A24,NPV!$B$3:$D$44,2,0)</f>
        <v>33561.219115261039</v>
      </c>
      <c r="Z24" s="16">
        <f t="shared" ref="Z24:Z42" si="10">D24*$B$13</f>
        <v>41557.401599999997</v>
      </c>
      <c r="AA24" s="16">
        <f>D24*$B$14*VLOOKUP($A24,NPV!$B$3:$D$44,2,0)</f>
        <v>32035.709155476452</v>
      </c>
      <c r="AB24" s="16">
        <f t="shared" ref="AB24:AB42" si="11">SUM(V24,X24,Z24)</f>
        <v>528912.38399999996</v>
      </c>
      <c r="AC24" s="16">
        <f t="shared" ref="AC24:AC42" si="12">SUM(W24,Y24,AA24)</f>
        <v>425617.27877990145</v>
      </c>
      <c r="AE24" s="16">
        <f t="shared" ref="AE24:AE43" si="13">SUM(L24,S24,AB24)</f>
        <v>5399431.9808</v>
      </c>
      <c r="AF24" s="16">
        <f t="shared" ref="AF24:AF43" si="14">SUM(M24,T24,AC24)</f>
        <v>4394791.118849447</v>
      </c>
      <c r="AI24" s="61"/>
      <c r="AJ24" s="61"/>
      <c r="AK24" s="61"/>
    </row>
    <row r="25" spans="1:37" x14ac:dyDescent="0.25">
      <c r="A25" s="5">
        <f t="shared" ref="A25:A42" si="15">A24+1</f>
        <v>2030</v>
      </c>
      <c r="B25" s="10">
        <f t="shared" si="0"/>
        <v>13416</v>
      </c>
      <c r="C25" s="10">
        <f>B25*'Inputs &amp; Parameters'!$C$19/60</f>
        <v>49192</v>
      </c>
      <c r="D25" s="10">
        <f>B25*'Inputs &amp; Parameters'!$B$19</f>
        <v>1888972.8</v>
      </c>
      <c r="E25" s="9"/>
      <c r="F25" s="16">
        <f t="shared" si="1"/>
        <v>2493444.0960000004</v>
      </c>
      <c r="G25" s="16">
        <f>D25*$B$17*VLOOKUP($A25,NPV!$B$3:$D$44,2,0)</f>
        <v>1953126.2336718359</v>
      </c>
      <c r="H25" s="16">
        <f>C25*'Truck Diversion (No Build)- Dry'!$B$9*$B$8</f>
        <v>1647932</v>
      </c>
      <c r="I25" s="16">
        <f>C25*'Truck Diversion (No Build)- Dry'!$B$9*$B$8*VLOOKUP($A25,NPV!$B$3:$D$44,2,0)</f>
        <v>1290832.7183555574</v>
      </c>
      <c r="J25" s="16">
        <f>D25*'Truck Diversion (No Build)- Dry'!$B$18</f>
        <v>94448.640000000014</v>
      </c>
      <c r="K25" s="16">
        <f>D25*'Truck Diversion (No Build)- Dry'!$B$18*VLOOKUP($A25,NPV!$B$3:$D$44,2,0)</f>
        <v>73982.054305751357</v>
      </c>
      <c r="L25" s="16">
        <f t="shared" si="2"/>
        <v>4235824.7360000005</v>
      </c>
      <c r="M25" s="16">
        <f t="shared" si="3"/>
        <v>3317941.0063331448</v>
      </c>
      <c r="N25" s="8"/>
      <c r="O25" s="16">
        <f t="shared" si="4"/>
        <v>568580.81279999996</v>
      </c>
      <c r="P25" s="16">
        <f>D25*$B$16*VLOOKUP($A25,NPV!$B$3:$D$44,3,0)</f>
        <v>485278.24896824732</v>
      </c>
      <c r="Q25" s="16">
        <f t="shared" si="5"/>
        <v>66114.04800000001</v>
      </c>
      <c r="R25" s="16">
        <f>D25*$B$15*VLOOKUP($A25,NPV!$B$3:$D$44,2,0)</f>
        <v>51787.438014025953</v>
      </c>
      <c r="S25" s="16">
        <f t="shared" si="6"/>
        <v>634694.86079999991</v>
      </c>
      <c r="T25" s="16">
        <f t="shared" si="7"/>
        <v>537065.68698227324</v>
      </c>
      <c r="V25" s="16">
        <f t="shared" si="8"/>
        <v>445797.5808</v>
      </c>
      <c r="W25" s="16">
        <f>D25*$B$12*VLOOKUP($A25,NPV!$B$3:$D$44,2,0)</f>
        <v>349195.29632314638</v>
      </c>
      <c r="X25" s="16">
        <f t="shared" si="9"/>
        <v>41557.401599999997</v>
      </c>
      <c r="Y25" s="16">
        <f>D25*$B$13*VLOOKUP($A25,NPV!$B$3:$D$44,2,0)</f>
        <v>32552.103894530592</v>
      </c>
      <c r="Z25" s="16">
        <f t="shared" si="10"/>
        <v>41557.401599999997</v>
      </c>
      <c r="AA25" s="16">
        <f>D25*$B$14*VLOOKUP($A25,NPV!$B$3:$D$44,2,0)</f>
        <v>31072.46280841557</v>
      </c>
      <c r="AB25" s="16">
        <f t="shared" si="11"/>
        <v>528912.38399999996</v>
      </c>
      <c r="AC25" s="16">
        <f t="shared" si="12"/>
        <v>412819.86302609259</v>
      </c>
      <c r="AE25" s="16">
        <f t="shared" si="13"/>
        <v>5399431.9808</v>
      </c>
      <c r="AF25" s="16">
        <f t="shared" si="14"/>
        <v>4267826.5563415103</v>
      </c>
      <c r="AI25" s="61"/>
      <c r="AJ25" s="61"/>
      <c r="AK25" s="61"/>
    </row>
    <row r="26" spans="1:37" x14ac:dyDescent="0.25">
      <c r="A26" s="5">
        <f t="shared" si="15"/>
        <v>2031</v>
      </c>
      <c r="B26" s="10">
        <f t="shared" si="0"/>
        <v>13416</v>
      </c>
      <c r="C26" s="10">
        <f>B26*'Inputs &amp; Parameters'!$C$19/60</f>
        <v>49192</v>
      </c>
      <c r="D26" s="10">
        <f>B26*'Inputs &amp; Parameters'!$B$19</f>
        <v>1888972.8</v>
      </c>
      <c r="E26" s="9"/>
      <c r="F26" s="16">
        <f t="shared" si="1"/>
        <v>2493444.0960000004</v>
      </c>
      <c r="G26" s="16">
        <f>D26*$B$17*VLOOKUP($A26,NPV!$B$3:$D$44,2,0)</f>
        <v>1894399.8386729739</v>
      </c>
      <c r="H26" s="16">
        <f>C26*'Truck Diversion (No Build)- Dry'!$B$9*$B$8</f>
        <v>1647932</v>
      </c>
      <c r="I26" s="16">
        <f>C26*'Truck Diversion (No Build)- Dry'!$B$9*$B$8*VLOOKUP($A26,NPV!$B$3:$D$44,2,0)</f>
        <v>1252020.095398213</v>
      </c>
      <c r="J26" s="16">
        <f>D26*'Truck Diversion (No Build)- Dry'!$B$18</f>
        <v>94448.640000000014</v>
      </c>
      <c r="K26" s="16">
        <f>D26*'Truck Diversion (No Build)- Dry'!$B$18*VLOOKUP($A26,NPV!$B$3:$D$44,2,0)</f>
        <v>71757.56964670356</v>
      </c>
      <c r="L26" s="16">
        <f t="shared" si="2"/>
        <v>4235824.7360000005</v>
      </c>
      <c r="M26" s="16">
        <f t="shared" si="3"/>
        <v>3218177.5037178905</v>
      </c>
      <c r="N26" s="8"/>
      <c r="O26" s="16">
        <f t="shared" si="4"/>
        <v>568580.81279999996</v>
      </c>
      <c r="P26" s="16">
        <f>D26*$B$16*VLOOKUP($A26,NPV!$B$3:$D$44,3,0)</f>
        <v>475762.98918455624</v>
      </c>
      <c r="Q26" s="16">
        <f t="shared" si="5"/>
        <v>66114.04800000001</v>
      </c>
      <c r="R26" s="16">
        <f>D26*$B$15*VLOOKUP($A26,NPV!$B$3:$D$44,2,0)</f>
        <v>50230.298752692492</v>
      </c>
      <c r="S26" s="16">
        <f t="shared" si="6"/>
        <v>634694.86079999991</v>
      </c>
      <c r="T26" s="16">
        <f t="shared" si="7"/>
        <v>525993.28793724871</v>
      </c>
      <c r="V26" s="16">
        <f t="shared" si="8"/>
        <v>445797.5808</v>
      </c>
      <c r="W26" s="16">
        <f>D26*$B$12*VLOOKUP($A26,NPV!$B$3:$D$44,2,0)</f>
        <v>338695.72873244074</v>
      </c>
      <c r="X26" s="16">
        <f t="shared" si="9"/>
        <v>41557.401599999997</v>
      </c>
      <c r="Y26" s="16">
        <f>D26*$B$13*VLOOKUP($A26,NPV!$B$3:$D$44,2,0)</f>
        <v>31573.330644549558</v>
      </c>
      <c r="Z26" s="16">
        <f t="shared" si="10"/>
        <v>41557.401599999997</v>
      </c>
      <c r="AA26" s="16">
        <f>D26*$B$14*VLOOKUP($A26,NPV!$B$3:$D$44,2,0)</f>
        <v>30138.179251615493</v>
      </c>
      <c r="AB26" s="16">
        <f t="shared" si="11"/>
        <v>528912.38399999996</v>
      </c>
      <c r="AC26" s="16">
        <f t="shared" si="12"/>
        <v>400407.23862860579</v>
      </c>
      <c r="AE26" s="16">
        <f t="shared" si="13"/>
        <v>5399431.9808</v>
      </c>
      <c r="AF26" s="16">
        <f t="shared" si="14"/>
        <v>4144578.0302837449</v>
      </c>
      <c r="AI26" s="61"/>
      <c r="AJ26" s="61"/>
      <c r="AK26" s="61"/>
    </row>
    <row r="27" spans="1:37" x14ac:dyDescent="0.25">
      <c r="A27" s="5">
        <f t="shared" si="15"/>
        <v>2032</v>
      </c>
      <c r="B27" s="10">
        <f t="shared" si="0"/>
        <v>13416</v>
      </c>
      <c r="C27" s="10">
        <f>B27*'Inputs &amp; Parameters'!$C$19/60</f>
        <v>49192</v>
      </c>
      <c r="D27" s="10">
        <f>B27*'Inputs &amp; Parameters'!$B$19</f>
        <v>1888972.8</v>
      </c>
      <c r="E27" s="9"/>
      <c r="F27" s="16">
        <f t="shared" si="1"/>
        <v>2493444.0960000004</v>
      </c>
      <c r="G27" s="16">
        <f>D27*$B$17*VLOOKUP($A27,NPV!$B$3:$D$44,2,0)</f>
        <v>1837439.2227671912</v>
      </c>
      <c r="H27" s="16">
        <f>C27*'Truck Diversion (No Build)- Dry'!$B$9*$B$8</f>
        <v>1647932</v>
      </c>
      <c r="I27" s="16">
        <f>C27*'Truck Diversion (No Build)- Dry'!$B$9*$B$8*VLOOKUP($A27,NPV!$B$3:$D$44,2,0)</f>
        <v>1214374.4863222241</v>
      </c>
      <c r="J27" s="16">
        <f>D27*'Truck Diversion (No Build)- Dry'!$B$18</f>
        <v>94448.640000000014</v>
      </c>
      <c r="K27" s="16">
        <f>D27*'Truck Diversion (No Build)- Dry'!$B$18*VLOOKUP($A27,NPV!$B$3:$D$44,2,0)</f>
        <v>69599.970559363297</v>
      </c>
      <c r="L27" s="16">
        <f t="shared" si="2"/>
        <v>4235824.7360000005</v>
      </c>
      <c r="M27" s="16">
        <f t="shared" si="3"/>
        <v>3121413.6796487784</v>
      </c>
      <c r="N27" s="8"/>
      <c r="O27" s="16">
        <f t="shared" si="4"/>
        <v>568580.81279999996</v>
      </c>
      <c r="P27" s="16">
        <f>D27*$B$16*VLOOKUP($A27,NPV!$B$3:$D$44,3,0)</f>
        <v>466434.30312211392</v>
      </c>
      <c r="Q27" s="16">
        <f t="shared" si="5"/>
        <v>66114.04800000001</v>
      </c>
      <c r="R27" s="16">
        <f>D27*$B$15*VLOOKUP($A27,NPV!$B$3:$D$44,2,0)</f>
        <v>48719.979391554312</v>
      </c>
      <c r="S27" s="16">
        <f t="shared" si="6"/>
        <v>634694.86079999991</v>
      </c>
      <c r="T27" s="16">
        <f t="shared" si="7"/>
        <v>515154.28251366824</v>
      </c>
      <c r="V27" s="16">
        <f t="shared" si="8"/>
        <v>445797.5808</v>
      </c>
      <c r="W27" s="16">
        <f>D27*$B$12*VLOOKUP($A27,NPV!$B$3:$D$44,2,0)</f>
        <v>328511.86104019475</v>
      </c>
      <c r="X27" s="16">
        <f t="shared" si="9"/>
        <v>41557.401599999997</v>
      </c>
      <c r="Y27" s="16">
        <f>D27*$B$13*VLOOKUP($A27,NPV!$B$3:$D$44,2,0)</f>
        <v>30623.987046119848</v>
      </c>
      <c r="Z27" s="16">
        <f t="shared" si="10"/>
        <v>41557.401599999997</v>
      </c>
      <c r="AA27" s="16">
        <f>D27*$B$14*VLOOKUP($A27,NPV!$B$3:$D$44,2,0)</f>
        <v>29231.987634932582</v>
      </c>
      <c r="AB27" s="16">
        <f t="shared" si="11"/>
        <v>528912.38399999996</v>
      </c>
      <c r="AC27" s="16">
        <f t="shared" si="12"/>
        <v>388367.83572124719</v>
      </c>
      <c r="AE27" s="16">
        <f t="shared" si="13"/>
        <v>5399431.9808</v>
      </c>
      <c r="AF27" s="16">
        <f t="shared" si="14"/>
        <v>4024935.7978836941</v>
      </c>
      <c r="AI27" s="61"/>
      <c r="AJ27" s="61"/>
      <c r="AK27" s="61"/>
    </row>
    <row r="28" spans="1:37" x14ac:dyDescent="0.25">
      <c r="A28" s="5">
        <f t="shared" si="15"/>
        <v>2033</v>
      </c>
      <c r="B28" s="10">
        <f t="shared" si="0"/>
        <v>13416</v>
      </c>
      <c r="C28" s="10">
        <f>B28*'Inputs &amp; Parameters'!$C$19/60</f>
        <v>49192</v>
      </c>
      <c r="D28" s="10">
        <f>B28*'Inputs &amp; Parameters'!$B$19</f>
        <v>1888972.8</v>
      </c>
      <c r="E28" s="9"/>
      <c r="F28" s="16">
        <f t="shared" si="1"/>
        <v>2493444.0960000004</v>
      </c>
      <c r="G28" s="16">
        <f>D28*$B$17*VLOOKUP($A28,NPV!$B$3:$D$44,2,0)</f>
        <v>1782191.2926936871</v>
      </c>
      <c r="H28" s="16">
        <f>C28*'Truck Diversion (No Build)- Dry'!$B$9*$B$8</f>
        <v>1647932</v>
      </c>
      <c r="I28" s="16">
        <f>C28*'Truck Diversion (No Build)- Dry'!$B$9*$B$8*VLOOKUP($A28,NPV!$B$3:$D$44,2,0)</f>
        <v>1177860.8014764541</v>
      </c>
      <c r="J28" s="16">
        <f>D28*'Truck Diversion (No Build)- Dry'!$B$18</f>
        <v>94448.640000000014</v>
      </c>
      <c r="K28" s="16">
        <f>D28*'Truck Diversion (No Build)- Dry'!$B$18*VLOOKUP($A28,NPV!$B$3:$D$44,2,0)</f>
        <v>67507.24593536694</v>
      </c>
      <c r="L28" s="16">
        <f t="shared" si="2"/>
        <v>4235824.7360000005</v>
      </c>
      <c r="M28" s="16">
        <f t="shared" si="3"/>
        <v>3027559.340105508</v>
      </c>
      <c r="N28" s="8"/>
      <c r="O28" s="16">
        <f t="shared" si="4"/>
        <v>568580.81279999996</v>
      </c>
      <c r="P28" s="16">
        <f>D28*$B$16*VLOOKUP($A28,NPV!$B$3:$D$44,3,0)</f>
        <v>457288.53247266077</v>
      </c>
      <c r="Q28" s="16">
        <f t="shared" si="5"/>
        <v>66114.04800000001</v>
      </c>
      <c r="R28" s="16">
        <f>D28*$B$15*VLOOKUP($A28,NPV!$B$3:$D$44,2,0)</f>
        <v>47255.072154756854</v>
      </c>
      <c r="S28" s="16">
        <f t="shared" si="6"/>
        <v>634694.86079999991</v>
      </c>
      <c r="T28" s="16">
        <f t="shared" si="7"/>
        <v>504543.60462741763</v>
      </c>
      <c r="V28" s="16">
        <f t="shared" si="8"/>
        <v>445797.5808</v>
      </c>
      <c r="W28" s="16">
        <f>D28*$B$12*VLOOKUP($A28,NPV!$B$3:$D$44,2,0)</f>
        <v>318634.20081493189</v>
      </c>
      <c r="X28" s="16">
        <f t="shared" si="9"/>
        <v>41557.401599999997</v>
      </c>
      <c r="Y28" s="16">
        <f>D28*$B$13*VLOOKUP($A28,NPV!$B$3:$D$44,2,0)</f>
        <v>29703.188211561446</v>
      </c>
      <c r="Z28" s="16">
        <f t="shared" si="10"/>
        <v>41557.401599999997</v>
      </c>
      <c r="AA28" s="16">
        <f>D28*$B$14*VLOOKUP($A28,NPV!$B$3:$D$44,2,0)</f>
        <v>28353.043292854109</v>
      </c>
      <c r="AB28" s="16">
        <f t="shared" si="11"/>
        <v>528912.38399999996</v>
      </c>
      <c r="AC28" s="16">
        <f t="shared" si="12"/>
        <v>376690.43231934746</v>
      </c>
      <c r="AE28" s="16">
        <f t="shared" si="13"/>
        <v>5399431.9808</v>
      </c>
      <c r="AF28" s="16">
        <f t="shared" si="14"/>
        <v>3908793.3770522731</v>
      </c>
      <c r="AI28" s="61"/>
      <c r="AJ28" s="61"/>
      <c r="AK28" s="61"/>
    </row>
    <row r="29" spans="1:37" x14ac:dyDescent="0.25">
      <c r="A29" s="5">
        <f t="shared" si="15"/>
        <v>2034</v>
      </c>
      <c r="B29" s="10">
        <f t="shared" si="0"/>
        <v>13416</v>
      </c>
      <c r="C29" s="10">
        <f>B29*'Inputs &amp; Parameters'!$C$19/60</f>
        <v>49192</v>
      </c>
      <c r="D29" s="10">
        <f>B29*'Inputs &amp; Parameters'!$B$19</f>
        <v>1888972.8</v>
      </c>
      <c r="E29" s="9"/>
      <c r="F29" s="16">
        <f t="shared" si="1"/>
        <v>2493444.0960000004</v>
      </c>
      <c r="G29" s="16">
        <f>D29*$B$17*VLOOKUP($A29,NPV!$B$3:$D$44,2,0)</f>
        <v>1728604.5515942648</v>
      </c>
      <c r="H29" s="16">
        <f>C29*'Truck Diversion (No Build)- Dry'!$B$9*$B$8</f>
        <v>1647932</v>
      </c>
      <c r="I29" s="16">
        <f>C29*'Truck Diversion (No Build)- Dry'!$B$9*$B$8*VLOOKUP($A29,NPV!$B$3:$D$44,2,0)</f>
        <v>1142445.0062817207</v>
      </c>
      <c r="J29" s="16">
        <f>D29*'Truck Diversion (No Build)- Dry'!$B$18</f>
        <v>94448.640000000014</v>
      </c>
      <c r="K29" s="16">
        <f>D29*'Truck Diversion (No Build)- Dry'!$B$18*VLOOKUP($A29,NPV!$B$3:$D$44,2,0)</f>
        <v>65477.445136146394</v>
      </c>
      <c r="L29" s="16">
        <f t="shared" si="2"/>
        <v>4235824.7360000005</v>
      </c>
      <c r="M29" s="16">
        <f t="shared" si="3"/>
        <v>2936527.0030121319</v>
      </c>
      <c r="N29" s="8"/>
      <c r="O29" s="16">
        <f t="shared" si="4"/>
        <v>568580.81279999996</v>
      </c>
      <c r="P29" s="16">
        <f>D29*$B$16*VLOOKUP($A29,NPV!$B$3:$D$44,3,0)</f>
        <v>448322.09065947129</v>
      </c>
      <c r="Q29" s="16">
        <f t="shared" si="5"/>
        <v>66114.04800000001</v>
      </c>
      <c r="R29" s="16">
        <f>D29*$B$15*VLOOKUP($A29,NPV!$B$3:$D$44,2,0)</f>
        <v>45834.211595302477</v>
      </c>
      <c r="S29" s="16">
        <f t="shared" si="6"/>
        <v>634694.86079999991</v>
      </c>
      <c r="T29" s="16">
        <f t="shared" si="7"/>
        <v>494156.30225477379</v>
      </c>
      <c r="V29" s="16">
        <f t="shared" si="8"/>
        <v>445797.5808</v>
      </c>
      <c r="W29" s="16">
        <f>D29*$B$12*VLOOKUP($A29,NPV!$B$3:$D$44,2,0)</f>
        <v>309053.54104261094</v>
      </c>
      <c r="X29" s="16">
        <f t="shared" si="9"/>
        <v>41557.401599999997</v>
      </c>
      <c r="Y29" s="16">
        <f>D29*$B$13*VLOOKUP($A29,NPV!$B$3:$D$44,2,0)</f>
        <v>28810.075859904406</v>
      </c>
      <c r="Z29" s="16">
        <f t="shared" si="10"/>
        <v>41557.401599999997</v>
      </c>
      <c r="AA29" s="16">
        <f>D29*$B$14*VLOOKUP($A29,NPV!$B$3:$D$44,2,0)</f>
        <v>27500.526957181482</v>
      </c>
      <c r="AB29" s="16">
        <f t="shared" si="11"/>
        <v>528912.38399999996</v>
      </c>
      <c r="AC29" s="16">
        <f t="shared" si="12"/>
        <v>365364.14385969681</v>
      </c>
      <c r="AE29" s="16">
        <f t="shared" si="13"/>
        <v>5399431.9808</v>
      </c>
      <c r="AF29" s="16">
        <f t="shared" si="14"/>
        <v>3796047.4491266022</v>
      </c>
      <c r="AI29" s="61"/>
      <c r="AJ29" s="61"/>
      <c r="AK29" s="61"/>
    </row>
    <row r="30" spans="1:37" x14ac:dyDescent="0.25">
      <c r="A30" s="5">
        <f t="shared" si="15"/>
        <v>2035</v>
      </c>
      <c r="B30" s="10">
        <f t="shared" si="0"/>
        <v>13416</v>
      </c>
      <c r="C30" s="10">
        <f>B30*'Inputs &amp; Parameters'!$C$19/60</f>
        <v>49192</v>
      </c>
      <c r="D30" s="10">
        <f>B30*'Inputs &amp; Parameters'!$B$19</f>
        <v>1888972.8</v>
      </c>
      <c r="E30" s="9"/>
      <c r="F30" s="16">
        <f t="shared" si="1"/>
        <v>2493444.0960000004</v>
      </c>
      <c r="G30" s="16">
        <f>D30*$B$17*VLOOKUP($A30,NPV!$B$3:$D$44,2,0)</f>
        <v>1676629.051012866</v>
      </c>
      <c r="H30" s="16">
        <f>C30*'Truck Diversion (No Build)- Dry'!$B$9*$B$8</f>
        <v>1647932</v>
      </c>
      <c r="I30" s="16">
        <f>C30*'Truck Diversion (No Build)- Dry'!$B$9*$B$8*VLOOKUP($A30,NPV!$B$3:$D$44,2,0)</f>
        <v>1108094.0895070038</v>
      </c>
      <c r="J30" s="16">
        <f>D30*'Truck Diversion (No Build)- Dry'!$B$18</f>
        <v>94448.640000000014</v>
      </c>
      <c r="K30" s="16">
        <f>D30*'Truck Diversion (No Build)- Dry'!$B$18*VLOOKUP($A30,NPV!$B$3:$D$44,2,0)</f>
        <v>63508.676174729771</v>
      </c>
      <c r="L30" s="16">
        <f t="shared" si="2"/>
        <v>4235824.7360000005</v>
      </c>
      <c r="M30" s="16">
        <f t="shared" si="3"/>
        <v>2848231.8166945991</v>
      </c>
      <c r="N30" s="8"/>
      <c r="O30" s="16">
        <f t="shared" si="4"/>
        <v>568580.81279999996</v>
      </c>
      <c r="P30" s="16">
        <f>D30*$B$16*VLOOKUP($A30,NPV!$B$3:$D$44,3,0)</f>
        <v>439531.46143085422</v>
      </c>
      <c r="Q30" s="16">
        <f t="shared" si="5"/>
        <v>66114.04800000001</v>
      </c>
      <c r="R30" s="16">
        <f>D30*$B$15*VLOOKUP($A30,NPV!$B$3:$D$44,2,0)</f>
        <v>44456.07332231084</v>
      </c>
      <c r="S30" s="16">
        <f t="shared" si="6"/>
        <v>634694.86079999991</v>
      </c>
      <c r="T30" s="16">
        <f t="shared" si="7"/>
        <v>483987.53475316509</v>
      </c>
      <c r="V30" s="16">
        <f t="shared" si="8"/>
        <v>445797.5808</v>
      </c>
      <c r="W30" s="16">
        <f>D30*$B$12*VLOOKUP($A30,NPV!$B$3:$D$44,2,0)</f>
        <v>299760.95154472446</v>
      </c>
      <c r="X30" s="16">
        <f t="shared" si="9"/>
        <v>41557.401599999997</v>
      </c>
      <c r="Y30" s="16">
        <f>D30*$B$13*VLOOKUP($A30,NPV!$B$3:$D$44,2,0)</f>
        <v>27943.817516881096</v>
      </c>
      <c r="Z30" s="16">
        <f t="shared" si="10"/>
        <v>41557.401599999997</v>
      </c>
      <c r="AA30" s="16">
        <f>D30*$B$14*VLOOKUP($A30,NPV!$B$3:$D$44,2,0)</f>
        <v>26673.6439933865</v>
      </c>
      <c r="AB30" s="16">
        <f t="shared" si="11"/>
        <v>528912.38399999996</v>
      </c>
      <c r="AC30" s="16">
        <f t="shared" si="12"/>
        <v>354378.41305499204</v>
      </c>
      <c r="AE30" s="16">
        <f t="shared" si="13"/>
        <v>5399431.9808</v>
      </c>
      <c r="AF30" s="16">
        <f t="shared" si="14"/>
        <v>3686597.7645027563</v>
      </c>
      <c r="AI30" s="61"/>
      <c r="AJ30" s="61"/>
      <c r="AK30" s="61"/>
    </row>
    <row r="31" spans="1:37" x14ac:dyDescent="0.25">
      <c r="A31" s="5">
        <f t="shared" si="15"/>
        <v>2036</v>
      </c>
      <c r="B31" s="10">
        <f t="shared" si="0"/>
        <v>13416</v>
      </c>
      <c r="C31" s="10">
        <f>B31*'Inputs &amp; Parameters'!$C$19/60</f>
        <v>49192</v>
      </c>
      <c r="D31" s="10">
        <f>B31*'Inputs &amp; Parameters'!$B$19</f>
        <v>1888972.8</v>
      </c>
      <c r="E31" s="9"/>
      <c r="F31" s="16">
        <f t="shared" si="1"/>
        <v>2493444.0960000004</v>
      </c>
      <c r="G31" s="16">
        <f>D31*$B$17*VLOOKUP($A31,NPV!$B$3:$D$44,2,0)</f>
        <v>1626216.3443383765</v>
      </c>
      <c r="H31" s="16">
        <f>C31*'Truck Diversion (No Build)- Dry'!$B$9*$B$8</f>
        <v>1647932</v>
      </c>
      <c r="I31" s="16">
        <f>C31*'Truck Diversion (No Build)- Dry'!$B$9*$B$8*VLOOKUP($A31,NPV!$B$3:$D$44,2,0)</f>
        <v>1074776.0324995187</v>
      </c>
      <c r="J31" s="16">
        <f>D31*'Truck Diversion (No Build)- Dry'!$B$18</f>
        <v>94448.640000000014</v>
      </c>
      <c r="K31" s="16">
        <f>D31*'Truck Diversion (No Build)- Dry'!$B$18*VLOOKUP($A31,NPV!$B$3:$D$44,2,0)</f>
        <v>61599.103952211233</v>
      </c>
      <c r="L31" s="16">
        <f t="shared" si="2"/>
        <v>4235824.7360000005</v>
      </c>
      <c r="M31" s="16">
        <f t="shared" si="3"/>
        <v>2762591.4807901066</v>
      </c>
      <c r="N31" s="8"/>
      <c r="O31" s="16">
        <f t="shared" si="4"/>
        <v>568580.81279999996</v>
      </c>
      <c r="P31" s="16">
        <f>D31*$B$16*VLOOKUP($A31,NPV!$B$3:$D$44,3,0)</f>
        <v>430913.19748122961</v>
      </c>
      <c r="Q31" s="16">
        <f t="shared" si="5"/>
        <v>66114.04800000001</v>
      </c>
      <c r="R31" s="16">
        <f>D31*$B$15*VLOOKUP($A31,NPV!$B$3:$D$44,2,0)</f>
        <v>43119.372766547865</v>
      </c>
      <c r="S31" s="16">
        <f t="shared" si="6"/>
        <v>634694.86079999991</v>
      </c>
      <c r="T31" s="16">
        <f t="shared" si="7"/>
        <v>474032.5702477775</v>
      </c>
      <c r="V31" s="16">
        <f t="shared" si="8"/>
        <v>445797.5808</v>
      </c>
      <c r="W31" s="16">
        <f>D31*$B$12*VLOOKUP($A31,NPV!$B$3:$D$44,2,0)</f>
        <v>290747.77065443702</v>
      </c>
      <c r="X31" s="16">
        <f t="shared" si="9"/>
        <v>41557.401599999997</v>
      </c>
      <c r="Y31" s="16">
        <f>D31*$B$13*VLOOKUP($A31,NPV!$B$3:$D$44,2,0)</f>
        <v>27103.605738972939</v>
      </c>
      <c r="Z31" s="16">
        <f t="shared" si="10"/>
        <v>41557.401599999997</v>
      </c>
      <c r="AA31" s="16">
        <f>D31*$B$14*VLOOKUP($A31,NPV!$B$3:$D$44,2,0)</f>
        <v>25871.623659928715</v>
      </c>
      <c r="AB31" s="16">
        <f t="shared" si="11"/>
        <v>528912.38399999996</v>
      </c>
      <c r="AC31" s="16">
        <f t="shared" si="12"/>
        <v>343723.00005333871</v>
      </c>
      <c r="AE31" s="16">
        <f t="shared" si="13"/>
        <v>5399431.9808</v>
      </c>
      <c r="AF31" s="16">
        <f t="shared" si="14"/>
        <v>3580347.051091223</v>
      </c>
      <c r="AI31" s="61"/>
      <c r="AJ31" s="61"/>
      <c r="AK31" s="61"/>
    </row>
    <row r="32" spans="1:37" x14ac:dyDescent="0.25">
      <c r="A32" s="5">
        <f t="shared" si="15"/>
        <v>2037</v>
      </c>
      <c r="B32" s="10">
        <f t="shared" si="0"/>
        <v>13416</v>
      </c>
      <c r="C32" s="10">
        <f>B32*'Inputs &amp; Parameters'!$C$19/60</f>
        <v>49192</v>
      </c>
      <c r="D32" s="10">
        <f>B32*'Inputs &amp; Parameters'!$B$19</f>
        <v>1888972.8</v>
      </c>
      <c r="E32" s="9"/>
      <c r="F32" s="16">
        <f t="shared" si="1"/>
        <v>2493444.0960000004</v>
      </c>
      <c r="G32" s="16">
        <f>D32*$B$17*VLOOKUP($A32,NPV!$B$3:$D$44,2,0)</f>
        <v>1577319.44164731</v>
      </c>
      <c r="H32" s="16">
        <f>C32*'Truck Diversion (No Build)- Dry'!$B$9*$B$8</f>
        <v>1647932</v>
      </c>
      <c r="I32" s="16">
        <f>C32*'Truck Diversion (No Build)- Dry'!$B$9*$B$8*VLOOKUP($A32,NPV!$B$3:$D$44,2,0)</f>
        <v>1042459.7793399795</v>
      </c>
      <c r="J32" s="16">
        <f>D32*'Truck Diversion (No Build)- Dry'!$B$18</f>
        <v>94448.640000000014</v>
      </c>
      <c r="K32" s="16">
        <f>D32*'Truck Diversion (No Build)- Dry'!$B$18*VLOOKUP($A32,NPV!$B$3:$D$44,2,0)</f>
        <v>59746.948547246597</v>
      </c>
      <c r="L32" s="16">
        <f t="shared" si="2"/>
        <v>4235824.7360000005</v>
      </c>
      <c r="M32" s="16">
        <f t="shared" si="3"/>
        <v>2679526.1695345361</v>
      </c>
      <c r="N32" s="8"/>
      <c r="O32" s="16">
        <f t="shared" si="4"/>
        <v>568580.81279999996</v>
      </c>
      <c r="P32" s="16">
        <f>D32*$B$16*VLOOKUP($A32,NPV!$B$3:$D$44,3,0)</f>
        <v>422463.91909924475</v>
      </c>
      <c r="Q32" s="16">
        <f t="shared" si="5"/>
        <v>66114.04800000001</v>
      </c>
      <c r="R32" s="16">
        <f>D32*$B$15*VLOOKUP($A32,NPV!$B$3:$D$44,2,0)</f>
        <v>41822.863983072617</v>
      </c>
      <c r="S32" s="16">
        <f t="shared" si="6"/>
        <v>634694.86079999991</v>
      </c>
      <c r="T32" s="16">
        <f t="shared" si="7"/>
        <v>464286.78308231739</v>
      </c>
      <c r="V32" s="16">
        <f t="shared" si="8"/>
        <v>445797.5808</v>
      </c>
      <c r="W32" s="16">
        <f>D32*$B$12*VLOOKUP($A32,NPV!$B$3:$D$44,2,0)</f>
        <v>282005.59714300389</v>
      </c>
      <c r="X32" s="16">
        <f t="shared" si="9"/>
        <v>41557.401599999997</v>
      </c>
      <c r="Y32" s="16">
        <f>D32*$B$13*VLOOKUP($A32,NPV!$B$3:$D$44,2,0)</f>
        <v>26288.657360788497</v>
      </c>
      <c r="Z32" s="16">
        <f t="shared" si="10"/>
        <v>41557.401599999997</v>
      </c>
      <c r="AA32" s="16">
        <f>D32*$B$14*VLOOKUP($A32,NPV!$B$3:$D$44,2,0)</f>
        <v>25093.718389843569</v>
      </c>
      <c r="AB32" s="16">
        <f t="shared" si="11"/>
        <v>528912.38399999996</v>
      </c>
      <c r="AC32" s="16">
        <f t="shared" si="12"/>
        <v>333387.97289363598</v>
      </c>
      <c r="AE32" s="16">
        <f t="shared" si="13"/>
        <v>5399431.9808</v>
      </c>
      <c r="AF32" s="16">
        <f t="shared" si="14"/>
        <v>3477200.9255104894</v>
      </c>
      <c r="AI32" s="61"/>
      <c r="AJ32" s="61"/>
      <c r="AK32" s="61"/>
    </row>
    <row r="33" spans="1:37" x14ac:dyDescent="0.25">
      <c r="A33" s="5">
        <f t="shared" si="15"/>
        <v>2038</v>
      </c>
      <c r="B33" s="10">
        <f t="shared" si="0"/>
        <v>13416</v>
      </c>
      <c r="C33" s="10">
        <f>B33*'Inputs &amp; Parameters'!$C$19/60</f>
        <v>49192</v>
      </c>
      <c r="D33" s="10">
        <f>B33*'Inputs &amp; Parameters'!$B$19</f>
        <v>1888972.8</v>
      </c>
      <c r="E33" s="9"/>
      <c r="F33" s="16">
        <f t="shared" si="1"/>
        <v>2493444.0960000004</v>
      </c>
      <c r="G33" s="16">
        <f>D33*$B$17*VLOOKUP($A33,NPV!$B$3:$D$44,2,0)</f>
        <v>1529892.7659042773</v>
      </c>
      <c r="H33" s="16">
        <f>C33*'Truck Diversion (No Build)- Dry'!$B$9*$B$8</f>
        <v>1647932</v>
      </c>
      <c r="I33" s="16">
        <f>C33*'Truck Diversion (No Build)- Dry'!$B$9*$B$8*VLOOKUP($A33,NPV!$B$3:$D$44,2,0)</f>
        <v>1011115.2078952274</v>
      </c>
      <c r="J33" s="16">
        <f>D33*'Truck Diversion (No Build)- Dry'!$B$18</f>
        <v>94448.640000000014</v>
      </c>
      <c r="K33" s="16">
        <f>D33*'Truck Diversion (No Build)- Dry'!$B$18*VLOOKUP($A33,NPV!$B$3:$D$44,2,0)</f>
        <v>57950.483556980202</v>
      </c>
      <c r="L33" s="16">
        <f t="shared" si="2"/>
        <v>4235824.7360000005</v>
      </c>
      <c r="M33" s="16">
        <f t="shared" si="3"/>
        <v>2598958.4573564851</v>
      </c>
      <c r="N33" s="8"/>
      <c r="O33" s="16">
        <f t="shared" si="4"/>
        <v>568580.81279999996</v>
      </c>
      <c r="P33" s="16">
        <f>D33*$B$16*VLOOKUP($A33,NPV!$B$3:$D$44,3,0)</f>
        <v>414180.31284239679</v>
      </c>
      <c r="Q33" s="16">
        <f t="shared" si="5"/>
        <v>66114.04800000001</v>
      </c>
      <c r="R33" s="16">
        <f>D33*$B$15*VLOOKUP($A33,NPV!$B$3:$D$44,2,0)</f>
        <v>40565.33848988614</v>
      </c>
      <c r="S33" s="16">
        <f t="shared" si="6"/>
        <v>634694.86079999991</v>
      </c>
      <c r="T33" s="16">
        <f t="shared" si="7"/>
        <v>454745.65133228293</v>
      </c>
      <c r="V33" s="16">
        <f t="shared" si="8"/>
        <v>445797.5808</v>
      </c>
      <c r="W33" s="16">
        <f>D33*$B$12*VLOOKUP($A33,NPV!$B$3:$D$44,2,0)</f>
        <v>273526.28238894651</v>
      </c>
      <c r="X33" s="16">
        <f t="shared" si="9"/>
        <v>41557.401599999997</v>
      </c>
      <c r="Y33" s="16">
        <f>D33*$B$13*VLOOKUP($A33,NPV!$B$3:$D$44,2,0)</f>
        <v>25498.212765071283</v>
      </c>
      <c r="Z33" s="16">
        <f t="shared" si="10"/>
        <v>41557.401599999997</v>
      </c>
      <c r="AA33" s="16">
        <f>D33*$B$14*VLOOKUP($A33,NPV!$B$3:$D$44,2,0)</f>
        <v>24339.203093931683</v>
      </c>
      <c r="AB33" s="16">
        <f t="shared" si="11"/>
        <v>528912.38399999996</v>
      </c>
      <c r="AC33" s="16">
        <f t="shared" si="12"/>
        <v>323363.69824794948</v>
      </c>
      <c r="AE33" s="16">
        <f t="shared" si="13"/>
        <v>5399431.9808</v>
      </c>
      <c r="AF33" s="16">
        <f t="shared" si="14"/>
        <v>3377067.8069367176</v>
      </c>
      <c r="AI33" s="61"/>
      <c r="AJ33" s="61"/>
      <c r="AK33" s="61"/>
    </row>
    <row r="34" spans="1:37" x14ac:dyDescent="0.25">
      <c r="A34" s="5">
        <f t="shared" si="15"/>
        <v>2039</v>
      </c>
      <c r="B34" s="10">
        <f t="shared" si="0"/>
        <v>13416</v>
      </c>
      <c r="C34" s="10">
        <f>B34*'Inputs &amp; Parameters'!$C$19/60</f>
        <v>49192</v>
      </c>
      <c r="D34" s="10">
        <f>B34*'Inputs &amp; Parameters'!$B$19</f>
        <v>1888972.8</v>
      </c>
      <c r="E34" s="9"/>
      <c r="F34" s="16">
        <f t="shared" si="1"/>
        <v>2493444.0960000004</v>
      </c>
      <c r="G34" s="16">
        <f>D34*$B$17*VLOOKUP($A34,NPV!$B$3:$D$44,2,0)</f>
        <v>1483892.1104794154</v>
      </c>
      <c r="H34" s="16">
        <f>C34*'Truck Diversion (No Build)- Dry'!$B$9*$B$8</f>
        <v>1647932</v>
      </c>
      <c r="I34" s="16">
        <f>C34*'Truck Diversion (No Build)- Dry'!$B$9*$B$8*VLOOKUP($A34,NPV!$B$3:$D$44,2,0)</f>
        <v>980713.10174124863</v>
      </c>
      <c r="J34" s="16">
        <f>D34*'Truck Diversion (No Build)- Dry'!$B$18</f>
        <v>94448.640000000014</v>
      </c>
      <c r="K34" s="16">
        <f>D34*'Truck Diversion (No Build)- Dry'!$B$18*VLOOKUP($A34,NPV!$B$3:$D$44,2,0)</f>
        <v>56208.034487856647</v>
      </c>
      <c r="L34" s="16">
        <f t="shared" si="2"/>
        <v>4235824.7360000005</v>
      </c>
      <c r="M34" s="16">
        <f t="shared" si="3"/>
        <v>2520813.2467085207</v>
      </c>
      <c r="N34" s="8"/>
      <c r="O34" s="16">
        <f t="shared" si="4"/>
        <v>568580.81279999996</v>
      </c>
      <c r="P34" s="16">
        <f>D34*$B$16*VLOOKUP($A34,NPV!$B$3:$D$44,3,0)</f>
        <v>406059.1302376439</v>
      </c>
      <c r="Q34" s="16">
        <f t="shared" si="5"/>
        <v>66114.04800000001</v>
      </c>
      <c r="R34" s="16">
        <f>D34*$B$15*VLOOKUP($A34,NPV!$B$3:$D$44,2,0)</f>
        <v>39345.624141499655</v>
      </c>
      <c r="S34" s="16">
        <f t="shared" si="6"/>
        <v>634694.86079999991</v>
      </c>
      <c r="T34" s="16">
        <f t="shared" si="7"/>
        <v>445404.75437914353</v>
      </c>
      <c r="V34" s="16">
        <f t="shared" si="8"/>
        <v>445797.5808</v>
      </c>
      <c r="W34" s="16">
        <f>D34*$B$12*VLOOKUP($A34,NPV!$B$3:$D$44,2,0)</f>
        <v>265301.92278268334</v>
      </c>
      <c r="X34" s="16">
        <f t="shared" si="9"/>
        <v>41557.401599999997</v>
      </c>
      <c r="Y34" s="16">
        <f>D34*$B$13*VLOOKUP($A34,NPV!$B$3:$D$44,2,0)</f>
        <v>24731.535174656918</v>
      </c>
      <c r="Z34" s="16">
        <f t="shared" si="10"/>
        <v>41557.401599999997</v>
      </c>
      <c r="AA34" s="16">
        <f>D34*$B$14*VLOOKUP($A34,NPV!$B$3:$D$44,2,0)</f>
        <v>23607.374484899789</v>
      </c>
      <c r="AB34" s="16">
        <f t="shared" si="11"/>
        <v>528912.38399999996</v>
      </c>
      <c r="AC34" s="16">
        <f t="shared" si="12"/>
        <v>313640.83244224003</v>
      </c>
      <c r="AE34" s="16">
        <f t="shared" si="13"/>
        <v>5399431.9808</v>
      </c>
      <c r="AF34" s="16">
        <f t="shared" si="14"/>
        <v>3279858.833529904</v>
      </c>
      <c r="AI34" s="61"/>
      <c r="AJ34" s="61"/>
      <c r="AK34" s="61"/>
    </row>
    <row r="35" spans="1:37" x14ac:dyDescent="0.25">
      <c r="A35" s="5">
        <f t="shared" si="15"/>
        <v>2040</v>
      </c>
      <c r="B35" s="10">
        <f t="shared" si="0"/>
        <v>13416</v>
      </c>
      <c r="C35" s="10">
        <f>B35*'Inputs &amp; Parameters'!$C$19/60</f>
        <v>49192</v>
      </c>
      <c r="D35" s="10">
        <f>B35*'Inputs &amp; Parameters'!$B$19</f>
        <v>1888972.8</v>
      </c>
      <c r="E35" s="9"/>
      <c r="F35" s="16">
        <f t="shared" si="1"/>
        <v>2493444.0960000004</v>
      </c>
      <c r="G35" s="16">
        <f>D35*$B$17*VLOOKUP($A35,NPV!$B$3:$D$44,2,0)</f>
        <v>1439274.5979431772</v>
      </c>
      <c r="H35" s="16">
        <f>C35*'Truck Diversion (No Build)- Dry'!$B$9*$B$8</f>
        <v>1647932</v>
      </c>
      <c r="I35" s="16">
        <f>C35*'Truck Diversion (No Build)- Dry'!$B$9*$B$8*VLOOKUP($A35,NPV!$B$3:$D$44,2,0)</f>
        <v>951225.12293040624</v>
      </c>
      <c r="J35" s="16">
        <f>D35*'Truck Diversion (No Build)- Dry'!$B$18</f>
        <v>94448.640000000014</v>
      </c>
      <c r="K35" s="16">
        <f>D35*'Truck Diversion (No Build)- Dry'!$B$18*VLOOKUP($A35,NPV!$B$3:$D$44,2,0)</f>
        <v>54517.977194817322</v>
      </c>
      <c r="L35" s="16">
        <f t="shared" si="2"/>
        <v>4235824.7360000005</v>
      </c>
      <c r="M35" s="16">
        <f t="shared" si="3"/>
        <v>2445017.6980684008</v>
      </c>
      <c r="N35" s="8"/>
      <c r="O35" s="16">
        <f t="shared" si="4"/>
        <v>568580.81279999996</v>
      </c>
      <c r="P35" s="16">
        <f>D35*$B$16*VLOOKUP($A35,NPV!$B$3:$D$44,3,0)</f>
        <v>398097.18650749401</v>
      </c>
      <c r="Q35" s="16">
        <f t="shared" si="5"/>
        <v>66114.04800000001</v>
      </c>
      <c r="R35" s="16">
        <f>D35*$B$15*VLOOKUP($A35,NPV!$B$3:$D$44,2,0)</f>
        <v>38162.584036372122</v>
      </c>
      <c r="S35" s="16">
        <f t="shared" si="6"/>
        <v>634694.86079999991</v>
      </c>
      <c r="T35" s="16">
        <f t="shared" si="7"/>
        <v>436259.77054386615</v>
      </c>
      <c r="V35" s="16">
        <f t="shared" si="8"/>
        <v>445797.5808</v>
      </c>
      <c r="W35" s="16">
        <f>D35*$B$12*VLOOKUP($A35,NPV!$B$3:$D$44,2,0)</f>
        <v>257324.8523595377</v>
      </c>
      <c r="X35" s="16">
        <f t="shared" si="9"/>
        <v>41557.401599999997</v>
      </c>
      <c r="Y35" s="16">
        <f>D35*$B$13*VLOOKUP($A35,NPV!$B$3:$D$44,2,0)</f>
        <v>23987.909965719617</v>
      </c>
      <c r="Z35" s="16">
        <f t="shared" si="10"/>
        <v>41557.401599999997</v>
      </c>
      <c r="AA35" s="16">
        <f>D35*$B$14*VLOOKUP($A35,NPV!$B$3:$D$44,2,0)</f>
        <v>22897.550421823271</v>
      </c>
      <c r="AB35" s="16">
        <f t="shared" si="11"/>
        <v>528912.38399999996</v>
      </c>
      <c r="AC35" s="16">
        <f t="shared" si="12"/>
        <v>304210.31274708058</v>
      </c>
      <c r="AE35" s="16">
        <f t="shared" si="13"/>
        <v>5399431.9808</v>
      </c>
      <c r="AF35" s="16">
        <f t="shared" si="14"/>
        <v>3185487.7813593475</v>
      </c>
      <c r="AI35" s="61"/>
      <c r="AJ35" s="61"/>
      <c r="AK35" s="61"/>
    </row>
    <row r="36" spans="1:37" x14ac:dyDescent="0.25">
      <c r="A36" s="5">
        <f t="shared" si="15"/>
        <v>2041</v>
      </c>
      <c r="B36" s="10">
        <f t="shared" si="0"/>
        <v>13416</v>
      </c>
      <c r="C36" s="10">
        <f>B36*'Inputs &amp; Parameters'!$C$19/60</f>
        <v>49192</v>
      </c>
      <c r="D36" s="10">
        <f>B36*'Inputs &amp; Parameters'!$B$19</f>
        <v>1888972.8</v>
      </c>
      <c r="E36" s="9"/>
      <c r="F36" s="16">
        <f t="shared" si="1"/>
        <v>2493444.0960000004</v>
      </c>
      <c r="G36" s="16">
        <f>D36*$B$17*VLOOKUP($A36,NPV!$B$3:$D$44,2,0)</f>
        <v>1395998.6401000749</v>
      </c>
      <c r="H36" s="16">
        <f>C36*'Truck Diversion (No Build)- Dry'!$B$9*$B$8</f>
        <v>1647932</v>
      </c>
      <c r="I36" s="16">
        <f>C36*'Truck Diversion (No Build)- Dry'!$B$9*$B$8*VLOOKUP($A36,NPV!$B$3:$D$44,2,0)</f>
        <v>922623.78557750362</v>
      </c>
      <c r="J36" s="16">
        <f>D36*'Truck Diversion (No Build)- Dry'!$B$18</f>
        <v>94448.640000000014</v>
      </c>
      <c r="K36" s="16">
        <f>D36*'Truck Diversion (No Build)- Dry'!$B$18*VLOOKUP($A36,NPV!$B$3:$D$44,2,0)</f>
        <v>52878.736367427082</v>
      </c>
      <c r="L36" s="16">
        <f t="shared" si="2"/>
        <v>4235824.7360000005</v>
      </c>
      <c r="M36" s="16">
        <f t="shared" si="3"/>
        <v>2371501.1620450057</v>
      </c>
      <c r="N36" s="8"/>
      <c r="O36" s="16">
        <f t="shared" si="4"/>
        <v>568580.81279999996</v>
      </c>
      <c r="P36" s="16">
        <f>D36*$B$16*VLOOKUP($A36,NPV!$B$3:$D$44,3,0)</f>
        <v>390291.35932107258</v>
      </c>
      <c r="Q36" s="16">
        <f t="shared" si="5"/>
        <v>66114.04800000001</v>
      </c>
      <c r="R36" s="16">
        <f>D36*$B$15*VLOOKUP($A36,NPV!$B$3:$D$44,2,0)</f>
        <v>37015.115457198961</v>
      </c>
      <c r="S36" s="16">
        <f t="shared" si="6"/>
        <v>634694.86079999991</v>
      </c>
      <c r="T36" s="16">
        <f t="shared" si="7"/>
        <v>427306.47477827151</v>
      </c>
      <c r="V36" s="16">
        <f t="shared" si="8"/>
        <v>445797.5808</v>
      </c>
      <c r="W36" s="16">
        <f>D36*$B$12*VLOOKUP($A36,NPV!$B$3:$D$44,2,0)</f>
        <v>249587.63565425581</v>
      </c>
      <c r="X36" s="16">
        <f t="shared" si="9"/>
        <v>41557.401599999997</v>
      </c>
      <c r="Y36" s="16">
        <f>D36*$B$13*VLOOKUP($A36,NPV!$B$3:$D$44,2,0)</f>
        <v>23266.644001667912</v>
      </c>
      <c r="Z36" s="16">
        <f t="shared" si="10"/>
        <v>41557.401599999997</v>
      </c>
      <c r="AA36" s="16">
        <f>D36*$B$14*VLOOKUP($A36,NPV!$B$3:$D$44,2,0)</f>
        <v>22209.069274319372</v>
      </c>
      <c r="AB36" s="16">
        <f t="shared" si="11"/>
        <v>528912.38399999996</v>
      </c>
      <c r="AC36" s="16">
        <f t="shared" si="12"/>
        <v>295063.34893024311</v>
      </c>
      <c r="AE36" s="16">
        <f t="shared" si="13"/>
        <v>5399431.9808</v>
      </c>
      <c r="AF36" s="16">
        <f t="shared" si="14"/>
        <v>3093870.9857535199</v>
      </c>
      <c r="AI36" s="61"/>
      <c r="AJ36" s="61"/>
      <c r="AK36" s="61"/>
    </row>
    <row r="37" spans="1:37" x14ac:dyDescent="0.25">
      <c r="A37" s="5">
        <f t="shared" si="15"/>
        <v>2042</v>
      </c>
      <c r="B37" s="10">
        <f t="shared" si="0"/>
        <v>13416</v>
      </c>
      <c r="C37" s="10">
        <f>B37*'Inputs &amp; Parameters'!$C$19/60</f>
        <v>49192</v>
      </c>
      <c r="D37" s="10">
        <f>B37*'Inputs &amp; Parameters'!$B$19</f>
        <v>1888972.8</v>
      </c>
      <c r="E37" s="9"/>
      <c r="F37" s="16">
        <f t="shared" si="1"/>
        <v>2493444.0960000004</v>
      </c>
      <c r="G37" s="16">
        <f>D37*$B$17*VLOOKUP($A37,NPV!$B$3:$D$44,2,0)</f>
        <v>1354023.8992241272</v>
      </c>
      <c r="H37" s="16">
        <f>C37*'Truck Diversion (No Build)- Dry'!$B$9*$B$8</f>
        <v>1647932</v>
      </c>
      <c r="I37" s="16">
        <f>C37*'Truck Diversion (No Build)- Dry'!$B$9*$B$8*VLOOKUP($A37,NPV!$B$3:$D$44,2,0)</f>
        <v>894882.43024006183</v>
      </c>
      <c r="J37" s="16">
        <f>D37*'Truck Diversion (No Build)- Dry'!$B$18</f>
        <v>94448.640000000014</v>
      </c>
      <c r="K37" s="16">
        <f>D37*'Truck Diversion (No Build)- Dry'!$B$18*VLOOKUP($A37,NPV!$B$3:$D$44,2,0)</f>
        <v>51288.784061519968</v>
      </c>
      <c r="L37" s="16">
        <f t="shared" si="2"/>
        <v>4235824.7360000005</v>
      </c>
      <c r="M37" s="16">
        <f t="shared" si="3"/>
        <v>2300195.1135257087</v>
      </c>
      <c r="N37" s="8"/>
      <c r="O37" s="16">
        <f t="shared" si="4"/>
        <v>568580.81279999996</v>
      </c>
      <c r="P37" s="16">
        <f>D37*$B$16*VLOOKUP($A37,NPV!$B$3:$D$44,3,0)</f>
        <v>382638.58756967902</v>
      </c>
      <c r="Q37" s="16">
        <f t="shared" si="5"/>
        <v>66114.04800000001</v>
      </c>
      <c r="R37" s="16">
        <f>D37*$B$15*VLOOKUP($A37,NPV!$B$3:$D$44,2,0)</f>
        <v>35902.14884306398</v>
      </c>
      <c r="S37" s="16">
        <f t="shared" si="6"/>
        <v>634694.86079999991</v>
      </c>
      <c r="T37" s="16">
        <f t="shared" si="7"/>
        <v>418540.73641274299</v>
      </c>
      <c r="V37" s="16">
        <f t="shared" si="8"/>
        <v>445797.5808</v>
      </c>
      <c r="W37" s="16">
        <f>D37*$B$12*VLOOKUP($A37,NPV!$B$3:$D$44,2,0)</f>
        <v>242083.0607703742</v>
      </c>
      <c r="X37" s="16">
        <f t="shared" si="9"/>
        <v>41557.401599999997</v>
      </c>
      <c r="Y37" s="16">
        <f>D37*$B$13*VLOOKUP($A37,NPV!$B$3:$D$44,2,0)</f>
        <v>22567.064987068781</v>
      </c>
      <c r="Z37" s="16">
        <f t="shared" si="10"/>
        <v>41557.401599999997</v>
      </c>
      <c r="AA37" s="16">
        <f>D37*$B$14*VLOOKUP($A37,NPV!$B$3:$D$44,2,0)</f>
        <v>21541.289305838385</v>
      </c>
      <c r="AB37" s="16">
        <f t="shared" si="11"/>
        <v>528912.38399999996</v>
      </c>
      <c r="AC37" s="16">
        <f t="shared" si="12"/>
        <v>286191.41506328137</v>
      </c>
      <c r="AE37" s="16">
        <f t="shared" si="13"/>
        <v>5399431.9808</v>
      </c>
      <c r="AF37" s="16">
        <f t="shared" si="14"/>
        <v>3004927.2650017333</v>
      </c>
      <c r="AI37" s="61"/>
      <c r="AJ37" s="61"/>
      <c r="AK37" s="61"/>
    </row>
    <row r="38" spans="1:37" x14ac:dyDescent="0.25">
      <c r="A38" s="5">
        <f t="shared" si="15"/>
        <v>2043</v>
      </c>
      <c r="B38" s="10">
        <f t="shared" si="0"/>
        <v>13416</v>
      </c>
      <c r="C38" s="10">
        <f>B38*'Inputs &amp; Parameters'!$C$19/60</f>
        <v>49192</v>
      </c>
      <c r="D38" s="10">
        <f>B38*'Inputs &amp; Parameters'!$B$19</f>
        <v>1888972.8</v>
      </c>
      <c r="E38" s="9"/>
      <c r="F38" s="16">
        <f t="shared" si="1"/>
        <v>2493444.0960000004</v>
      </c>
      <c r="G38" s="16">
        <f>D38*$B$17*VLOOKUP($A38,NPV!$B$3:$D$44,2,0)</f>
        <v>1313311.250459871</v>
      </c>
      <c r="H38" s="16">
        <f>C38*'Truck Diversion (No Build)- Dry'!$B$9*$B$8</f>
        <v>1647932</v>
      </c>
      <c r="I38" s="16">
        <f>C38*'Truck Diversion (No Build)- Dry'!$B$9*$B$8*VLOOKUP($A38,NPV!$B$3:$D$44,2,0)</f>
        <v>867975.19906892511</v>
      </c>
      <c r="J38" s="16">
        <f>D38*'Truck Diversion (No Build)- Dry'!$B$18</f>
        <v>94448.640000000014</v>
      </c>
      <c r="K38" s="16">
        <f>D38*'Truck Diversion (No Build)- Dry'!$B$18*VLOOKUP($A38,NPV!$B$3:$D$44,2,0)</f>
        <v>49746.638274995115</v>
      </c>
      <c r="L38" s="16">
        <f t="shared" si="2"/>
        <v>4235824.7360000005</v>
      </c>
      <c r="M38" s="16">
        <f t="shared" si="3"/>
        <v>2231033.0878037913</v>
      </c>
      <c r="N38" s="8"/>
      <c r="O38" s="16">
        <f t="shared" si="4"/>
        <v>568580.81279999996</v>
      </c>
      <c r="P38" s="16">
        <f>D38*$B$16*VLOOKUP($A38,NPV!$B$3:$D$44,3,0)</f>
        <v>375135.87016635196</v>
      </c>
      <c r="Q38" s="16">
        <f t="shared" si="5"/>
        <v>66114.04800000001</v>
      </c>
      <c r="R38" s="16">
        <f>D38*$B$15*VLOOKUP($A38,NPV!$B$3:$D$44,2,0)</f>
        <v>34822.646792496584</v>
      </c>
      <c r="S38" s="16">
        <f t="shared" si="6"/>
        <v>634694.86079999991</v>
      </c>
      <c r="T38" s="16">
        <f t="shared" si="7"/>
        <v>409958.51695884857</v>
      </c>
      <c r="V38" s="16">
        <f t="shared" si="8"/>
        <v>445797.5808</v>
      </c>
      <c r="W38" s="16">
        <f>D38*$B$12*VLOOKUP($A38,NPV!$B$3:$D$44,2,0)</f>
        <v>234804.13265797691</v>
      </c>
      <c r="X38" s="16">
        <f t="shared" si="9"/>
        <v>41557.401599999997</v>
      </c>
      <c r="Y38" s="16">
        <f>D38*$B$13*VLOOKUP($A38,NPV!$B$3:$D$44,2,0)</f>
        <v>21888.520840997848</v>
      </c>
      <c r="Z38" s="16">
        <f t="shared" si="10"/>
        <v>41557.401599999997</v>
      </c>
      <c r="AA38" s="16">
        <f>D38*$B$14*VLOOKUP($A38,NPV!$B$3:$D$44,2,0)</f>
        <v>20893.588075497948</v>
      </c>
      <c r="AB38" s="16">
        <f t="shared" si="11"/>
        <v>528912.38399999996</v>
      </c>
      <c r="AC38" s="16">
        <f t="shared" si="12"/>
        <v>277586.24157447269</v>
      </c>
      <c r="AE38" s="16">
        <f t="shared" si="13"/>
        <v>5399431.9808</v>
      </c>
      <c r="AF38" s="16">
        <f t="shared" si="14"/>
        <v>2918577.8463371126</v>
      </c>
      <c r="AI38" s="61"/>
      <c r="AJ38" s="61"/>
      <c r="AK38" s="61"/>
    </row>
    <row r="39" spans="1:37" x14ac:dyDescent="0.25">
      <c r="A39" s="5">
        <f t="shared" si="15"/>
        <v>2044</v>
      </c>
      <c r="B39" s="10">
        <f t="shared" si="0"/>
        <v>13416</v>
      </c>
      <c r="C39" s="10">
        <f>B39*'Inputs &amp; Parameters'!$C$19/60</f>
        <v>49192</v>
      </c>
      <c r="D39" s="10">
        <f>B39*'Inputs &amp; Parameters'!$B$19</f>
        <v>1888972.8</v>
      </c>
      <c r="E39" s="9"/>
      <c r="F39" s="16">
        <f t="shared" si="1"/>
        <v>2493444.0960000004</v>
      </c>
      <c r="G39" s="16">
        <f>D39*$B$17*VLOOKUP($A39,NPV!$B$3:$D$44,2,0)</f>
        <v>1273822.7453539004</v>
      </c>
      <c r="H39" s="16">
        <f>C39*'Truck Diversion (No Build)- Dry'!$B$9*$B$8</f>
        <v>1647932</v>
      </c>
      <c r="I39" s="16">
        <f>C39*'Truck Diversion (No Build)- Dry'!$B$9*$B$8*VLOOKUP($A39,NPV!$B$3:$D$44,2,0)</f>
        <v>841877.01170603803</v>
      </c>
      <c r="J39" s="16">
        <f>D39*'Truck Diversion (No Build)- Dry'!$B$18</f>
        <v>94448.640000000014</v>
      </c>
      <c r="K39" s="16">
        <f>D39*'Truck Diversion (No Build)- Dry'!$B$18*VLOOKUP($A39,NPV!$B$3:$D$44,2,0)</f>
        <v>48250.861566435626</v>
      </c>
      <c r="L39" s="16">
        <f t="shared" si="2"/>
        <v>4235824.7360000005</v>
      </c>
      <c r="M39" s="16">
        <f t="shared" si="3"/>
        <v>2163950.6186263738</v>
      </c>
      <c r="N39" s="8"/>
      <c r="O39" s="16">
        <f t="shared" si="4"/>
        <v>568580.81279999996</v>
      </c>
      <c r="P39" s="16">
        <f>D39*$B$16*VLOOKUP($A39,NPV!$B$3:$D$44,3,0)</f>
        <v>367780.26486897247</v>
      </c>
      <c r="Q39" s="16">
        <f t="shared" si="5"/>
        <v>66114.04800000001</v>
      </c>
      <c r="R39" s="16">
        <f>D39*$B$15*VLOOKUP($A39,NPV!$B$3:$D$44,2,0)</f>
        <v>33775.603096504936</v>
      </c>
      <c r="S39" s="16">
        <f t="shared" si="6"/>
        <v>634694.86079999991</v>
      </c>
      <c r="T39" s="16">
        <f t="shared" si="7"/>
        <v>401555.8679654774</v>
      </c>
      <c r="V39" s="16">
        <f t="shared" si="8"/>
        <v>445797.5808</v>
      </c>
      <c r="W39" s="16">
        <f>D39*$B$12*VLOOKUP($A39,NPV!$B$3:$D$44,2,0)</f>
        <v>227744.06659357611</v>
      </c>
      <c r="X39" s="16">
        <f t="shared" si="9"/>
        <v>41557.401599999997</v>
      </c>
      <c r="Y39" s="16">
        <f>D39*$B$13*VLOOKUP($A39,NPV!$B$3:$D$44,2,0)</f>
        <v>21230.379089231668</v>
      </c>
      <c r="Z39" s="16">
        <f t="shared" si="10"/>
        <v>41557.401599999997</v>
      </c>
      <c r="AA39" s="16">
        <f>D39*$B$14*VLOOKUP($A39,NPV!$B$3:$D$44,2,0)</f>
        <v>20265.361857902961</v>
      </c>
      <c r="AB39" s="16">
        <f t="shared" si="11"/>
        <v>528912.38399999996</v>
      </c>
      <c r="AC39" s="16">
        <f t="shared" si="12"/>
        <v>269239.80754071072</v>
      </c>
      <c r="AE39" s="16">
        <f t="shared" si="13"/>
        <v>5399431.9808</v>
      </c>
      <c r="AF39" s="16">
        <f t="shared" si="14"/>
        <v>2834746.2941325619</v>
      </c>
      <c r="AI39" s="61"/>
      <c r="AJ39" s="61"/>
      <c r="AK39" s="61"/>
    </row>
    <row r="40" spans="1:37" x14ac:dyDescent="0.25">
      <c r="A40" s="5">
        <f t="shared" si="15"/>
        <v>2045</v>
      </c>
      <c r="B40" s="10">
        <f t="shared" si="0"/>
        <v>13416</v>
      </c>
      <c r="C40" s="10">
        <f>B40*'Inputs &amp; Parameters'!$C$19/60</f>
        <v>49192</v>
      </c>
      <c r="D40" s="10">
        <f>B40*'Inputs &amp; Parameters'!$B$19</f>
        <v>1888972.8</v>
      </c>
      <c r="E40" s="9"/>
      <c r="F40" s="16">
        <f t="shared" si="1"/>
        <v>2493444.0960000004</v>
      </c>
      <c r="G40" s="16">
        <f>D40*$B$17*VLOOKUP($A40,NPV!$B$3:$D$44,2,0)</f>
        <v>1235521.5764829295</v>
      </c>
      <c r="H40" s="16">
        <f>C40*'Truck Diversion (No Build)- Dry'!$B$9*$B$8</f>
        <v>1647932</v>
      </c>
      <c r="I40" s="16">
        <f>C40*'Truck Diversion (No Build)- Dry'!$B$9*$B$8*VLOOKUP($A40,NPV!$B$3:$D$44,2,0)</f>
        <v>816563.5419069234</v>
      </c>
      <c r="J40" s="16">
        <f>D40*'Truck Diversion (No Build)- Dry'!$B$18</f>
        <v>94448.640000000014</v>
      </c>
      <c r="K40" s="16">
        <f>D40*'Truck Diversion (No Build)- Dry'!$B$18*VLOOKUP($A40,NPV!$B$3:$D$44,2,0)</f>
        <v>46800.059715262483</v>
      </c>
      <c r="L40" s="16">
        <f t="shared" si="2"/>
        <v>4235824.7360000005</v>
      </c>
      <c r="M40" s="16">
        <f t="shared" si="3"/>
        <v>2098885.1781051154</v>
      </c>
      <c r="N40" s="8"/>
      <c r="O40" s="16">
        <f t="shared" si="4"/>
        <v>568580.81279999996</v>
      </c>
      <c r="P40" s="16">
        <f>D40*$B$16*VLOOKUP($A40,NPV!$B$3:$D$44,3,0)</f>
        <v>360568.88712644367</v>
      </c>
      <c r="Q40" s="16">
        <f t="shared" si="5"/>
        <v>66114.04800000001</v>
      </c>
      <c r="R40" s="16">
        <f>D40*$B$15*VLOOKUP($A40,NPV!$B$3:$D$44,2,0)</f>
        <v>32760.041800683735</v>
      </c>
      <c r="S40" s="16">
        <f t="shared" si="6"/>
        <v>634694.86079999991</v>
      </c>
      <c r="T40" s="16">
        <f t="shared" si="7"/>
        <v>393328.92892712739</v>
      </c>
      <c r="V40" s="16">
        <f t="shared" si="8"/>
        <v>445797.5808</v>
      </c>
      <c r="W40" s="16">
        <f>D40*$B$12*VLOOKUP($A40,NPV!$B$3:$D$44,2,0)</f>
        <v>220896.28185603887</v>
      </c>
      <c r="X40" s="16">
        <f t="shared" si="9"/>
        <v>41557.401599999997</v>
      </c>
      <c r="Y40" s="16">
        <f>D40*$B$13*VLOOKUP($A40,NPV!$B$3:$D$44,2,0)</f>
        <v>20592.026274715488</v>
      </c>
      <c r="Z40" s="16">
        <f t="shared" si="10"/>
        <v>41557.401599999997</v>
      </c>
      <c r="AA40" s="16">
        <f>D40*$B$14*VLOOKUP($A40,NPV!$B$3:$D$44,2,0)</f>
        <v>19656.02508041024</v>
      </c>
      <c r="AB40" s="16">
        <f t="shared" si="11"/>
        <v>528912.38399999996</v>
      </c>
      <c r="AC40" s="16">
        <f t="shared" si="12"/>
        <v>261144.3332111646</v>
      </c>
      <c r="AE40" s="16">
        <f t="shared" si="13"/>
        <v>5399431.9808</v>
      </c>
      <c r="AF40" s="16">
        <f t="shared" si="14"/>
        <v>2753358.4402434072</v>
      </c>
      <c r="AI40" s="61"/>
      <c r="AJ40" s="61"/>
      <c r="AK40" s="61"/>
    </row>
    <row r="41" spans="1:37" x14ac:dyDescent="0.25">
      <c r="A41" s="5">
        <f t="shared" si="15"/>
        <v>2046</v>
      </c>
      <c r="B41" s="10">
        <f t="shared" si="0"/>
        <v>13416</v>
      </c>
      <c r="C41" s="10">
        <f>B41*'Inputs &amp; Parameters'!$C$19/60</f>
        <v>49192</v>
      </c>
      <c r="D41" s="10">
        <f>B41*'Inputs &amp; Parameters'!$B$19</f>
        <v>1888972.8</v>
      </c>
      <c r="E41" s="9"/>
      <c r="F41" s="16">
        <f t="shared" si="1"/>
        <v>2493444.0960000004</v>
      </c>
      <c r="G41" s="16">
        <f>D41*$B$17*VLOOKUP($A41,NPV!$B$3:$D$44,2,0)</f>
        <v>1198372.0431454217</v>
      </c>
      <c r="H41" s="16">
        <f>C41*'Truck Diversion (No Build)- Dry'!$B$9*$B$8</f>
        <v>1647932</v>
      </c>
      <c r="I41" s="16">
        <f>C41*'Truck Diversion (No Build)- Dry'!$B$9*$B$8*VLOOKUP($A41,NPV!$B$3:$D$44,2,0)</f>
        <v>792011.19486607518</v>
      </c>
      <c r="J41" s="16">
        <f>D41*'Truck Diversion (No Build)- Dry'!$B$18</f>
        <v>94448.640000000014</v>
      </c>
      <c r="K41" s="16">
        <f>D41*'Truck Diversion (No Build)- Dry'!$B$18*VLOOKUP($A41,NPV!$B$3:$D$44,2,0)</f>
        <v>45392.880422175062</v>
      </c>
      <c r="L41" s="16">
        <f t="shared" si="2"/>
        <v>4235824.7360000005</v>
      </c>
      <c r="M41" s="16">
        <f t="shared" si="3"/>
        <v>2035776.118433672</v>
      </c>
      <c r="N41" s="8"/>
      <c r="O41" s="16">
        <f t="shared" si="4"/>
        <v>568580.81279999996</v>
      </c>
      <c r="P41" s="16">
        <f>D41*$B$16*VLOOKUP($A41,NPV!$B$3:$D$44,3,0)</f>
        <v>353498.90894749376</v>
      </c>
      <c r="Q41" s="16">
        <f t="shared" si="5"/>
        <v>66114.04800000001</v>
      </c>
      <c r="R41" s="16">
        <f>D41*$B$15*VLOOKUP($A41,NPV!$B$3:$D$44,2,0)</f>
        <v>31775.016295522546</v>
      </c>
      <c r="S41" s="16">
        <f t="shared" si="6"/>
        <v>634694.86079999991</v>
      </c>
      <c r="T41" s="16">
        <f t="shared" si="7"/>
        <v>385273.92524301633</v>
      </c>
      <c r="V41" s="16">
        <f t="shared" si="8"/>
        <v>445797.5808</v>
      </c>
      <c r="W41" s="16">
        <f>D41*$B$12*VLOOKUP($A41,NPV!$B$3:$D$44,2,0)</f>
        <v>214254.39559266626</v>
      </c>
      <c r="X41" s="16">
        <f t="shared" si="9"/>
        <v>41557.401599999997</v>
      </c>
      <c r="Y41" s="16">
        <f>D41*$B$13*VLOOKUP($A41,NPV!$B$3:$D$44,2,0)</f>
        <v>19972.867385757025</v>
      </c>
      <c r="Z41" s="16">
        <f t="shared" si="10"/>
        <v>41557.401599999997</v>
      </c>
      <c r="AA41" s="16">
        <f>D41*$B$14*VLOOKUP($A41,NPV!$B$3:$D$44,2,0)</f>
        <v>19065.009777313524</v>
      </c>
      <c r="AB41" s="16">
        <f t="shared" si="11"/>
        <v>528912.38399999996</v>
      </c>
      <c r="AC41" s="16">
        <f t="shared" si="12"/>
        <v>253292.27275573681</v>
      </c>
      <c r="AE41" s="16">
        <f t="shared" si="13"/>
        <v>5399431.9808</v>
      </c>
      <c r="AF41" s="16">
        <f t="shared" si="14"/>
        <v>2674342.3164324253</v>
      </c>
      <c r="AI41" s="61"/>
      <c r="AJ41" s="61"/>
      <c r="AK41" s="61"/>
    </row>
    <row r="42" spans="1:37" x14ac:dyDescent="0.25">
      <c r="A42" s="5">
        <f t="shared" si="15"/>
        <v>2047</v>
      </c>
      <c r="B42" s="10">
        <f t="shared" si="0"/>
        <v>13416</v>
      </c>
      <c r="C42" s="10">
        <f>B42*'Inputs &amp; Parameters'!$C$19/60</f>
        <v>49192</v>
      </c>
      <c r="D42" s="10">
        <f>B42*'Inputs &amp; Parameters'!$B$19</f>
        <v>1888972.8</v>
      </c>
      <c r="E42" s="9"/>
      <c r="F42" s="16">
        <f t="shared" si="1"/>
        <v>2493444.0960000004</v>
      </c>
      <c r="G42" s="16">
        <f>D42*$B$17*VLOOKUP($A42,NPV!$B$3:$D$44,2,0)</f>
        <v>1162339.5180847931</v>
      </c>
      <c r="H42" s="16">
        <f>C42*'Truck Diversion (No Build)- Dry'!$B$9*$B$8</f>
        <v>1647932</v>
      </c>
      <c r="I42" s="16">
        <f>C42*'Truck Diversion (No Build)- Dry'!$B$9*$B$8*VLOOKUP($A42,NPV!$B$3:$D$44,2,0)</f>
        <v>768197.08522412728</v>
      </c>
      <c r="J42" s="16">
        <f>D42*'Truck Diversion (No Build)- Dry'!$B$18</f>
        <v>94448.640000000014</v>
      </c>
      <c r="K42" s="16">
        <f>D42*'Truck Diversion (No Build)- Dry'!$B$18*VLOOKUP($A42,NPV!$B$3:$D$44,2,0)</f>
        <v>44028.012048666402</v>
      </c>
      <c r="L42" s="16">
        <f t="shared" si="2"/>
        <v>4235824.7360000005</v>
      </c>
      <c r="M42" s="16">
        <f t="shared" si="3"/>
        <v>1974564.6153575866</v>
      </c>
      <c r="N42" s="8"/>
      <c r="O42" s="16">
        <f t="shared" si="4"/>
        <v>568580.81279999996</v>
      </c>
      <c r="P42" s="16">
        <f>D42*$B$16*VLOOKUP($A42,NPV!$B$3:$D$44,3,0)</f>
        <v>346567.5577916606</v>
      </c>
      <c r="Q42" s="16">
        <f t="shared" si="5"/>
        <v>66114.04800000001</v>
      </c>
      <c r="R42" s="16">
        <f>D42*$B$15*VLOOKUP($A42,NPV!$B$3:$D$44,2,0)</f>
        <v>30819.608434066482</v>
      </c>
      <c r="S42" s="16">
        <f t="shared" si="6"/>
        <v>634694.86079999991</v>
      </c>
      <c r="T42" s="16">
        <f t="shared" si="7"/>
        <v>377387.16622572707</v>
      </c>
      <c r="V42" s="16">
        <f t="shared" si="8"/>
        <v>445797.5808</v>
      </c>
      <c r="W42" s="16">
        <f>D42*$B$12*VLOOKUP($A42,NPV!$B$3:$D$44,2,0)</f>
        <v>207812.21686970539</v>
      </c>
      <c r="X42" s="16">
        <f t="shared" si="9"/>
        <v>41557.401599999997</v>
      </c>
      <c r="Y42" s="16">
        <f>D42*$B$13*VLOOKUP($A42,NPV!$B$3:$D$44,2,0)</f>
        <v>19372.325301413213</v>
      </c>
      <c r="Z42" s="16">
        <f t="shared" si="10"/>
        <v>41557.401599999997</v>
      </c>
      <c r="AA42" s="16">
        <f>D42*$B$14*VLOOKUP($A42,NPV!$B$3:$D$44,2,0)</f>
        <v>18491.765060439888</v>
      </c>
      <c r="AB42" s="16">
        <f t="shared" si="11"/>
        <v>528912.38399999996</v>
      </c>
      <c r="AC42" s="16">
        <f t="shared" si="12"/>
        <v>245676.30723155849</v>
      </c>
      <c r="AE42" s="16">
        <f t="shared" si="13"/>
        <v>5399431.9808</v>
      </c>
      <c r="AF42" s="16">
        <f t="shared" si="14"/>
        <v>2597628.0888148723</v>
      </c>
      <c r="AI42" s="61"/>
      <c r="AJ42" s="61"/>
      <c r="AK42" s="61"/>
    </row>
    <row r="43" spans="1:37" x14ac:dyDescent="0.25">
      <c r="A43" s="11" t="s">
        <v>44</v>
      </c>
      <c r="B43" s="37">
        <f>SUBTOTAL(9,B23:B42)</f>
        <v>268320</v>
      </c>
      <c r="C43" s="37">
        <f>SUBTOTAL(9,C23:C42)</f>
        <v>983840</v>
      </c>
      <c r="D43" s="37">
        <f>SUBTOTAL(9,D23:D42)</f>
        <v>37779456</v>
      </c>
      <c r="E43" s="38"/>
      <c r="F43" s="39">
        <f>SUBTOTAL(9,F23:F42)</f>
        <v>49868881.920000009</v>
      </c>
      <c r="G43" s="39">
        <f t="shared" ref="G43:M43" si="16">SUBTOTAL(9,G23:G42)</f>
        <v>31552145.284962207</v>
      </c>
      <c r="H43" s="39">
        <f t="shared" si="16"/>
        <v>32958640</v>
      </c>
      <c r="I43" s="39">
        <f t="shared" si="16"/>
        <v>20853000.060097728</v>
      </c>
      <c r="J43" s="39">
        <f t="shared" si="16"/>
        <v>1888972.8000000012</v>
      </c>
      <c r="K43" s="39">
        <f t="shared" si="16"/>
        <v>1195157.0183697804</v>
      </c>
      <c r="L43" s="39">
        <f t="shared" si="16"/>
        <v>84716494.720000014</v>
      </c>
      <c r="M43" s="39">
        <f t="shared" si="16"/>
        <v>53600302.363429703</v>
      </c>
      <c r="N43" s="40"/>
      <c r="O43" s="39">
        <f t="shared" ref="O43:S43" si="17">SUBTOTAL(9,O23:O42)</f>
        <v>11371616.255999994</v>
      </c>
      <c r="P43" s="39">
        <f t="shared" si="17"/>
        <v>8420680.1119717658</v>
      </c>
      <c r="Q43" s="39">
        <f t="shared" si="17"/>
        <v>1322280.9599999995</v>
      </c>
      <c r="R43" s="39">
        <f t="shared" si="17"/>
        <v>836609.91285884636</v>
      </c>
      <c r="S43" s="39">
        <f t="shared" si="17"/>
        <v>12693897.215999998</v>
      </c>
      <c r="T43" s="39">
        <f>SUBTOTAL(9,T23:T42)</f>
        <v>9257290.0248306114</v>
      </c>
      <c r="U43" s="1"/>
      <c r="V43" s="39">
        <f t="shared" ref="V43:AB43" si="18">SUBTOTAL(9,V23:V42)</f>
        <v>8915951.6159999985</v>
      </c>
      <c r="W43" s="39">
        <f t="shared" si="18"/>
        <v>5641141.1267053625</v>
      </c>
      <c r="X43" s="39">
        <f t="shared" si="18"/>
        <v>831148.03199999977</v>
      </c>
      <c r="Y43" s="39">
        <f t="shared" si="18"/>
        <v>525869.0880827033</v>
      </c>
      <c r="Z43" s="39">
        <f t="shared" si="18"/>
        <v>831148.03199999977</v>
      </c>
      <c r="AA43" s="39">
        <f t="shared" si="18"/>
        <v>501965.94771530782</v>
      </c>
      <c r="AB43" s="39">
        <f t="shared" si="18"/>
        <v>10578247.679999996</v>
      </c>
      <c r="AC43" s="39">
        <f>SUBTOTAL(9,AC23:AC42)</f>
        <v>6668976.1625033757</v>
      </c>
      <c r="AD43" s="1"/>
      <c r="AE43" s="39">
        <f t="shared" si="13"/>
        <v>107988639.61600001</v>
      </c>
      <c r="AF43" s="39">
        <f t="shared" si="14"/>
        <v>69526568.550763682</v>
      </c>
    </row>
    <row r="45" spans="1:37" ht="20.25" thickBot="1" x14ac:dyDescent="0.35">
      <c r="A45" s="19" t="s">
        <v>217</v>
      </c>
    </row>
    <row r="46" spans="1:37" ht="15.75" thickTop="1" x14ac:dyDescent="0.25">
      <c r="F46" s="183" t="s">
        <v>138</v>
      </c>
      <c r="G46" s="184"/>
      <c r="H46" s="184"/>
      <c r="I46" s="184"/>
      <c r="J46" s="184"/>
      <c r="K46" s="184"/>
      <c r="L46" s="184"/>
      <c r="M46" s="185"/>
      <c r="N46" s="7"/>
      <c r="O46" s="183" t="s">
        <v>185</v>
      </c>
      <c r="P46" s="184"/>
      <c r="Q46" s="184"/>
      <c r="R46" s="184"/>
      <c r="S46" s="184"/>
      <c r="T46" s="185"/>
      <c r="V46" s="183" t="s">
        <v>129</v>
      </c>
      <c r="W46" s="184"/>
      <c r="X46" s="184"/>
      <c r="Y46" s="184"/>
      <c r="Z46" s="184"/>
      <c r="AA46" s="184"/>
      <c r="AB46" s="184"/>
      <c r="AC46" s="185"/>
    </row>
    <row r="47" spans="1:37" s="74" customFormat="1" ht="45" x14ac:dyDescent="0.25">
      <c r="A47" s="15" t="s">
        <v>80</v>
      </c>
      <c r="B47" s="15" t="s">
        <v>384</v>
      </c>
      <c r="C47" s="15" t="s">
        <v>136</v>
      </c>
      <c r="D47" s="15" t="s">
        <v>137</v>
      </c>
      <c r="E47" s="134"/>
      <c r="F47" s="15" t="s">
        <v>138</v>
      </c>
      <c r="G47" s="15" t="s">
        <v>317</v>
      </c>
      <c r="H47" s="15" t="s">
        <v>325</v>
      </c>
      <c r="I47" s="135" t="s">
        <v>318</v>
      </c>
      <c r="J47" s="135" t="s">
        <v>139</v>
      </c>
      <c r="K47" s="15" t="s">
        <v>319</v>
      </c>
      <c r="L47" s="15" t="s">
        <v>44</v>
      </c>
      <c r="M47" s="15" t="s">
        <v>141</v>
      </c>
      <c r="N47" s="134"/>
      <c r="O47" s="15" t="s">
        <v>94</v>
      </c>
      <c r="P47" s="15" t="s">
        <v>320</v>
      </c>
      <c r="Q47" s="15" t="s">
        <v>172</v>
      </c>
      <c r="R47" s="15" t="s">
        <v>321</v>
      </c>
      <c r="S47" s="15" t="s">
        <v>44</v>
      </c>
      <c r="T47" s="15" t="s">
        <v>141</v>
      </c>
      <c r="V47" s="15" t="s">
        <v>130</v>
      </c>
      <c r="W47" s="15" t="s">
        <v>322</v>
      </c>
      <c r="X47" s="15" t="s">
        <v>131</v>
      </c>
      <c r="Y47" s="15" t="s">
        <v>323</v>
      </c>
      <c r="Z47" s="15" t="s">
        <v>46</v>
      </c>
      <c r="AA47" s="15" t="s">
        <v>324</v>
      </c>
      <c r="AB47" s="15" t="s">
        <v>44</v>
      </c>
      <c r="AC47" s="15" t="s">
        <v>141</v>
      </c>
      <c r="AE47" s="15" t="s">
        <v>44</v>
      </c>
      <c r="AF47" s="15" t="s">
        <v>141</v>
      </c>
    </row>
    <row r="48" spans="1:37" x14ac:dyDescent="0.25">
      <c r="A48" s="5">
        <f>$B$3</f>
        <v>2028</v>
      </c>
      <c r="B48" s="10">
        <f>$B$7*52</f>
        <v>14664</v>
      </c>
      <c r="C48" s="10">
        <f>B48*'Inputs &amp; Parameters'!$C$19/60</f>
        <v>53768</v>
      </c>
      <c r="D48" s="10">
        <f>B48*'Inputs &amp; Parameters'!$B$19</f>
        <v>2064691.2000000002</v>
      </c>
      <c r="E48" s="9"/>
      <c r="F48" s="16">
        <f>D48*'Truck Diversion (No Build)- Dry'!$B$17</f>
        <v>2725392.3840000005</v>
      </c>
      <c r="G48" s="16">
        <f>D48*'Truck Diversion (No Build)- Dry'!$B$17*VLOOKUP($A48,NPV!$B$3:$D$44,2,0)</f>
        <v>2269222.3181416807</v>
      </c>
      <c r="H48" s="16">
        <f>C48*'Truck Diversion (No Build)- Dry'!$B$9*$B$8</f>
        <v>1801228</v>
      </c>
      <c r="I48" s="16">
        <f>C48*'Truck Diversion (No Build)- Dry'!$B$9*$B$8*VLOOKUP($A48,NPV!$B$3:$D$44,2,0)</f>
        <v>1499742.496404401</v>
      </c>
      <c r="J48" s="16">
        <f>D48*'Truck Diversion (No Build)- Dry'!$B$18</f>
        <v>103234.56000000001</v>
      </c>
      <c r="K48" s="16">
        <f>D48*'Truck Diversion (No Build)- Dry'!$B$18*VLOOKUP($A48,NPV!$B$3:$D$44,2,0)</f>
        <v>85955.390838700012</v>
      </c>
      <c r="L48" s="16">
        <f>SUM(F48,H48,J48)</f>
        <v>4629854.9440000001</v>
      </c>
      <c r="M48" s="16">
        <f>SUM(G48,I48,K48)</f>
        <v>3854920.2053847816</v>
      </c>
      <c r="N48" s="8"/>
      <c r="O48" s="16">
        <f>D48*$B$16</f>
        <v>621472.05119999999</v>
      </c>
      <c r="P48" s="16">
        <f>D48*$B$16*VLOOKUP($A48,NPV!$B$3:$D$44,3,0)</f>
        <v>551849.3962941519</v>
      </c>
      <c r="Q48" s="16">
        <f>D48*$B$15</f>
        <v>72264.19200000001</v>
      </c>
      <c r="R48" s="16">
        <f>D48*$B$15*VLOOKUP($A48,NPV!$B$3:$D$44,2,0)</f>
        <v>60168.773587090014</v>
      </c>
      <c r="S48" s="16">
        <f>SUM(O48,Q48)</f>
        <v>693736.24320000003</v>
      </c>
      <c r="T48" s="16">
        <f>SUM(P48,R48)</f>
        <v>612018.16988124186</v>
      </c>
      <c r="V48" s="16">
        <f>D48*$B$12</f>
        <v>487267.12320000003</v>
      </c>
      <c r="W48" s="16">
        <f>D48*$B$12*VLOOKUP($A48,NPV!$B$3:$D$44,2,0)</f>
        <v>405709.44475866406</v>
      </c>
      <c r="X48" s="16">
        <f>D48*$B$13</f>
        <v>45423.206400000003</v>
      </c>
      <c r="Y48" s="16">
        <f>D48*$B$13*VLOOKUP($A48,NPV!$B$3:$D$44,2,0)</f>
        <v>37820.371969028005</v>
      </c>
      <c r="Z48" s="16">
        <f>D48*$B$14</f>
        <v>43358.515200000009</v>
      </c>
      <c r="AA48" s="16">
        <f>D48*$B$14*VLOOKUP($A48,NPV!$B$3:$D$44,2,0)</f>
        <v>36101.264152254007</v>
      </c>
      <c r="AB48" s="16">
        <f>SUM(V48,X48,Z48)</f>
        <v>576048.84480000008</v>
      </c>
      <c r="AC48" s="16">
        <f>SUM(W48:AA48)</f>
        <v>568412.80247994605</v>
      </c>
      <c r="AE48" s="16">
        <f>SUM(L48,S48,AB48)</f>
        <v>5899640.0320000006</v>
      </c>
      <c r="AF48" s="16">
        <f>SUM(M48,T48,AC48)</f>
        <v>5035351.177745969</v>
      </c>
      <c r="AI48" s="61"/>
      <c r="AJ48" s="61"/>
      <c r="AK48" s="61"/>
    </row>
    <row r="49" spans="1:37" x14ac:dyDescent="0.25">
      <c r="A49" s="5">
        <f>A48+1</f>
        <v>2029</v>
      </c>
      <c r="B49" s="10">
        <f t="shared" ref="B49:B67" si="19">$B$7*52</f>
        <v>14664</v>
      </c>
      <c r="C49" s="10">
        <f>B49*'Inputs &amp; Parameters'!$C$19/60</f>
        <v>53768</v>
      </c>
      <c r="D49" s="10">
        <f>B49*'Inputs &amp; Parameters'!$B$19</f>
        <v>2064691.2000000002</v>
      </c>
      <c r="E49" s="9"/>
      <c r="F49" s="16">
        <f>D49*'Truck Diversion (No Build)- Dry'!$B$17</f>
        <v>2725392.3840000005</v>
      </c>
      <c r="G49" s="16">
        <f>D49*'Truck Diversion (No Build)- Dry'!$B$17*VLOOKUP($A49,NPV!$B$3:$D$44,2,0)</f>
        <v>2200991.5791868875</v>
      </c>
      <c r="H49" s="16">
        <f>C49*'Truck Diversion (No Build)- Dry'!$B$9*$B$8</f>
        <v>1801228</v>
      </c>
      <c r="I49" s="16">
        <f>C49*'Truck Diversion (No Build)- Dry'!$B$9*$B$8*VLOOKUP($A49,NPV!$B$3:$D$44,2,0)</f>
        <v>1454648.3961245406</v>
      </c>
      <c r="J49" s="16">
        <f>D49*'Truck Diversion (No Build)- Dry'!$B$18</f>
        <v>103234.56000000001</v>
      </c>
      <c r="K49" s="16">
        <f>D49*'Truck Diversion (No Build)- Dry'!$B$18*VLOOKUP($A49,NPV!$B$3:$D$44,2,0)</f>
        <v>83370.893151018463</v>
      </c>
      <c r="L49" s="16">
        <f t="shared" ref="L49:L67" si="20">SUM(F49,H49,J49)</f>
        <v>4629854.9440000001</v>
      </c>
      <c r="M49" s="16">
        <f t="shared" ref="M49:M67" si="21">SUM(G49,I49,K49)</f>
        <v>3739010.8684624466</v>
      </c>
      <c r="N49" s="8"/>
      <c r="O49" s="16">
        <f t="shared" ref="O49:O67" si="22">D49*$B$16</f>
        <v>621472.05119999999</v>
      </c>
      <c r="P49" s="16">
        <f>D49*$B$16*VLOOKUP($A49,NPV!$B$3:$D$44,3,0)</f>
        <v>541028.81989622745</v>
      </c>
      <c r="Q49" s="16">
        <f t="shared" ref="Q49:Q67" si="23">D49*$B$15</f>
        <v>72264.19200000001</v>
      </c>
      <c r="R49" s="16">
        <f>D49*$B$15*VLOOKUP($A49,NPV!$B$3:$D$44,2,0)</f>
        <v>58359.625205712924</v>
      </c>
      <c r="S49" s="16">
        <f t="shared" ref="S49:S67" si="24">SUM(O49,Q49)</f>
        <v>693736.24320000003</v>
      </c>
      <c r="T49" s="16">
        <f t="shared" ref="T49:T67" si="25">SUM(P49,R49)</f>
        <v>599388.44510194042</v>
      </c>
      <c r="V49" s="16">
        <f t="shared" ref="V49:V67" si="26">D49*$B$12</f>
        <v>487267.12320000003</v>
      </c>
      <c r="W49" s="16">
        <f>D49*$B$12*VLOOKUP($A49,NPV!$B$3:$D$44,2,0)</f>
        <v>393510.61567280709</v>
      </c>
      <c r="X49" s="16">
        <f t="shared" ref="X49:X67" si="27">D49*$B$13</f>
        <v>45423.206400000003</v>
      </c>
      <c r="Y49" s="16">
        <f>D49*$B$13*VLOOKUP($A49,NPV!$B$3:$D$44,2,0)</f>
        <v>36683.192986448121</v>
      </c>
      <c r="Z49" s="16">
        <f t="shared" ref="Z49:Z67" si="28">D49*$B$14</f>
        <v>43358.515200000009</v>
      </c>
      <c r="AA49" s="16">
        <f>D49*$B$14*VLOOKUP($A49,NPV!$B$3:$D$44,2,0)</f>
        <v>35015.775123427753</v>
      </c>
      <c r="AB49" s="16">
        <f t="shared" ref="AB49:AB67" si="29">SUM(V49,X49,Z49)</f>
        <v>576048.84480000008</v>
      </c>
      <c r="AC49" s="16">
        <f t="shared" ref="AC49:AC67" si="30">SUM(W49:AA49)</f>
        <v>553991.30538268306</v>
      </c>
      <c r="AE49" s="16">
        <f t="shared" ref="AE49:AE67" si="31">SUM(L49,S49,AB49)</f>
        <v>5899640.0320000006</v>
      </c>
      <c r="AF49" s="16">
        <f t="shared" ref="AF49:AF67" si="32">SUM(M49,T49,AC49)</f>
        <v>4892390.6189470701</v>
      </c>
      <c r="AI49" s="61"/>
      <c r="AJ49" s="61"/>
      <c r="AK49" s="61"/>
    </row>
    <row r="50" spans="1:37" x14ac:dyDescent="0.25">
      <c r="A50" s="5">
        <f t="shared" ref="A50:A67" si="33">A49+1</f>
        <v>2030</v>
      </c>
      <c r="B50" s="10">
        <f t="shared" si="19"/>
        <v>14664</v>
      </c>
      <c r="C50" s="10">
        <f>B50*'Inputs &amp; Parameters'!$C$19/60</f>
        <v>53768</v>
      </c>
      <c r="D50" s="10">
        <f>B50*'Inputs &amp; Parameters'!$B$19</f>
        <v>2064691.2000000002</v>
      </c>
      <c r="E50" s="9"/>
      <c r="F50" s="16">
        <f>D50*'Truck Diversion (No Build)- Dry'!$B$17</f>
        <v>2725392.3840000005</v>
      </c>
      <c r="G50" s="16">
        <f>D50*'Truck Diversion (No Build)- Dry'!$B$17*VLOOKUP($A50,NPV!$B$3:$D$44,2,0)</f>
        <v>2134812.394943635</v>
      </c>
      <c r="H50" s="16">
        <f>C50*'Truck Diversion (No Build)- Dry'!$B$9*$B$8</f>
        <v>1801228</v>
      </c>
      <c r="I50" s="16">
        <f>C50*'Truck Diversion (No Build)- Dry'!$B$9*$B$8*VLOOKUP($A50,NPV!$B$3:$D$44,2,0)</f>
        <v>1410910.1805281674</v>
      </c>
      <c r="J50" s="16">
        <f>D50*'Truck Diversion (No Build)- Dry'!$B$18</f>
        <v>103234.56000000001</v>
      </c>
      <c r="K50" s="16">
        <f>D50*'Truck Diversion (No Build)- Dry'!$B$18*VLOOKUP($A50,NPV!$B$3:$D$44,2,0)</f>
        <v>80864.105869077073</v>
      </c>
      <c r="L50" s="16">
        <f t="shared" si="20"/>
        <v>4629854.9440000001</v>
      </c>
      <c r="M50" s="16">
        <f t="shared" si="21"/>
        <v>3626586.6813408798</v>
      </c>
      <c r="N50" s="8"/>
      <c r="O50" s="16">
        <f t="shared" si="22"/>
        <v>621472.05119999999</v>
      </c>
      <c r="P50" s="16">
        <f>D50*$B$16*VLOOKUP($A50,NPV!$B$3:$D$44,3,0)</f>
        <v>530420.41166296799</v>
      </c>
      <c r="Q50" s="16">
        <f t="shared" si="23"/>
        <v>72264.19200000001</v>
      </c>
      <c r="R50" s="16">
        <f>D50*$B$15*VLOOKUP($A50,NPV!$B$3:$D$44,2,0)</f>
        <v>56604.87410835395</v>
      </c>
      <c r="S50" s="16">
        <f t="shared" si="24"/>
        <v>693736.24320000003</v>
      </c>
      <c r="T50" s="16">
        <f t="shared" si="25"/>
        <v>587025.28577132197</v>
      </c>
      <c r="V50" s="16">
        <f t="shared" si="26"/>
        <v>487267.12320000003</v>
      </c>
      <c r="W50" s="16">
        <f>D50*$B$12*VLOOKUP($A50,NPV!$B$3:$D$44,2,0)</f>
        <v>381678.57970204373</v>
      </c>
      <c r="X50" s="16">
        <f t="shared" si="27"/>
        <v>45423.206400000003</v>
      </c>
      <c r="Y50" s="16">
        <f>D50*$B$13*VLOOKUP($A50,NPV!$B$3:$D$44,2,0)</f>
        <v>35580.206582393905</v>
      </c>
      <c r="Z50" s="16">
        <f t="shared" si="28"/>
        <v>43358.515200000009</v>
      </c>
      <c r="AA50" s="16">
        <f>D50*$B$14*VLOOKUP($A50,NPV!$B$3:$D$44,2,0)</f>
        <v>33962.924465012373</v>
      </c>
      <c r="AB50" s="16">
        <f t="shared" si="29"/>
        <v>576048.84480000008</v>
      </c>
      <c r="AC50" s="16">
        <f t="shared" si="30"/>
        <v>540003.43234945007</v>
      </c>
      <c r="AE50" s="16">
        <f t="shared" si="31"/>
        <v>5899640.0320000006</v>
      </c>
      <c r="AF50" s="16">
        <f t="shared" si="32"/>
        <v>4753615.3994616522</v>
      </c>
      <c r="AI50" s="61"/>
      <c r="AJ50" s="61"/>
      <c r="AK50" s="61"/>
    </row>
    <row r="51" spans="1:37" x14ac:dyDescent="0.25">
      <c r="A51" s="5">
        <f t="shared" si="33"/>
        <v>2031</v>
      </c>
      <c r="B51" s="10">
        <f t="shared" si="19"/>
        <v>14664</v>
      </c>
      <c r="C51" s="10">
        <f>B51*'Inputs &amp; Parameters'!$C$19/60</f>
        <v>53768</v>
      </c>
      <c r="D51" s="10">
        <f>B51*'Inputs &amp; Parameters'!$B$19</f>
        <v>2064691.2000000002</v>
      </c>
      <c r="E51" s="9"/>
      <c r="F51" s="16">
        <f>D51*'Truck Diversion (No Build)- Dry'!$B$17</f>
        <v>2725392.3840000005</v>
      </c>
      <c r="G51" s="16">
        <f>D51*'Truck Diversion (No Build)- Dry'!$B$17*VLOOKUP($A51,NPV!$B$3:$D$44,2,0)</f>
        <v>2070623.0794797624</v>
      </c>
      <c r="H51" s="16">
        <f>C51*'Truck Diversion (No Build)- Dry'!$B$9*$B$8</f>
        <v>1801228</v>
      </c>
      <c r="I51" s="16">
        <f>C51*'Truck Diversion (No Build)- Dry'!$B$9*$B$8*VLOOKUP($A51,NPV!$B$3:$D$44,2,0)</f>
        <v>1368487.0810166514</v>
      </c>
      <c r="J51" s="16">
        <f>D51*'Truck Diversion (No Build)- Dry'!$B$18</f>
        <v>103234.56000000001</v>
      </c>
      <c r="K51" s="16">
        <f>D51*'Truck Diversion (No Build)- Dry'!$B$18*VLOOKUP($A51,NPV!$B$3:$D$44,2,0)</f>
        <v>78432.692404536443</v>
      </c>
      <c r="L51" s="16">
        <f t="shared" si="20"/>
        <v>4629854.9440000001</v>
      </c>
      <c r="M51" s="16">
        <f t="shared" si="21"/>
        <v>3517542.8529009502</v>
      </c>
      <c r="N51" s="8"/>
      <c r="O51" s="16">
        <f t="shared" si="22"/>
        <v>621472.05119999999</v>
      </c>
      <c r="P51" s="16">
        <f>D51*$B$16*VLOOKUP($A51,NPV!$B$3:$D$44,3,0)</f>
        <v>520020.01143428241</v>
      </c>
      <c r="Q51" s="16">
        <f t="shared" si="23"/>
        <v>72264.19200000001</v>
      </c>
      <c r="R51" s="16">
        <f>D51*$B$15*VLOOKUP($A51,NPV!$B$3:$D$44,2,0)</f>
        <v>54902.884683175515</v>
      </c>
      <c r="S51" s="16">
        <f t="shared" si="24"/>
        <v>693736.24320000003</v>
      </c>
      <c r="T51" s="16">
        <f t="shared" si="25"/>
        <v>574922.89611745789</v>
      </c>
      <c r="V51" s="16">
        <f t="shared" si="26"/>
        <v>487267.12320000003</v>
      </c>
      <c r="W51" s="16">
        <f>D51*$B$12*VLOOKUP($A51,NPV!$B$3:$D$44,2,0)</f>
        <v>370202.30814941198</v>
      </c>
      <c r="X51" s="16">
        <f t="shared" si="27"/>
        <v>45423.206400000003</v>
      </c>
      <c r="Y51" s="16">
        <f>D51*$B$13*VLOOKUP($A51,NPV!$B$3:$D$44,2,0)</f>
        <v>34510.384657996037</v>
      </c>
      <c r="Z51" s="16">
        <f t="shared" si="28"/>
        <v>43358.515200000009</v>
      </c>
      <c r="AA51" s="16">
        <f>D51*$B$14*VLOOKUP($A51,NPV!$B$3:$D$44,2,0)</f>
        <v>32941.730809905312</v>
      </c>
      <c r="AB51" s="16">
        <f t="shared" si="29"/>
        <v>576048.84480000008</v>
      </c>
      <c r="AC51" s="16">
        <f t="shared" si="30"/>
        <v>526436.14521731343</v>
      </c>
      <c r="AE51" s="16">
        <f t="shared" si="31"/>
        <v>5899640.0320000006</v>
      </c>
      <c r="AF51" s="16">
        <f t="shared" si="32"/>
        <v>4618901.8942357218</v>
      </c>
      <c r="AI51" s="61"/>
      <c r="AJ51" s="61"/>
      <c r="AK51" s="61"/>
    </row>
    <row r="52" spans="1:37" x14ac:dyDescent="0.25">
      <c r="A52" s="5">
        <f t="shared" si="33"/>
        <v>2032</v>
      </c>
      <c r="B52" s="10">
        <f t="shared" si="19"/>
        <v>14664</v>
      </c>
      <c r="C52" s="10">
        <f>B52*'Inputs &amp; Parameters'!$C$19/60</f>
        <v>53768</v>
      </c>
      <c r="D52" s="10">
        <f>B52*'Inputs &amp; Parameters'!$B$19</f>
        <v>2064691.2000000002</v>
      </c>
      <c r="E52" s="9"/>
      <c r="F52" s="16">
        <f>D52*'Truck Diversion (No Build)- Dry'!$B$17</f>
        <v>2725392.3840000005</v>
      </c>
      <c r="G52" s="16">
        <f>D52*'Truck Diversion (No Build)- Dry'!$B$17*VLOOKUP($A52,NPV!$B$3:$D$44,2,0)</f>
        <v>2008363.8016292555</v>
      </c>
      <c r="H52" s="16">
        <f>C52*'Truck Diversion (No Build)- Dry'!$B$9*$B$8</f>
        <v>1801228</v>
      </c>
      <c r="I52" s="16">
        <f>C52*'Truck Diversion (No Build)- Dry'!$B$9*$B$8*VLOOKUP($A52,NPV!$B$3:$D$44,2,0)</f>
        <v>1327339.5548173147</v>
      </c>
      <c r="J52" s="16">
        <f>D52*'Truck Diversion (No Build)- Dry'!$B$18</f>
        <v>103234.56000000001</v>
      </c>
      <c r="K52" s="16">
        <f>D52*'Truck Diversion (No Build)- Dry'!$B$18*VLOOKUP($A52,NPV!$B$3:$D$44,2,0)</f>
        <v>76074.386425350589</v>
      </c>
      <c r="L52" s="16">
        <f t="shared" si="20"/>
        <v>4629854.9440000001</v>
      </c>
      <c r="M52" s="16">
        <f t="shared" si="21"/>
        <v>3411777.742871921</v>
      </c>
      <c r="N52" s="8"/>
      <c r="O52" s="16">
        <f t="shared" si="22"/>
        <v>621472.05119999999</v>
      </c>
      <c r="P52" s="16">
        <f>D52*$B$16*VLOOKUP($A52,NPV!$B$3:$D$44,3,0)</f>
        <v>509823.54062184546</v>
      </c>
      <c r="Q52" s="16">
        <f t="shared" si="23"/>
        <v>72264.19200000001</v>
      </c>
      <c r="R52" s="16">
        <f>D52*$B$15*VLOOKUP($A52,NPV!$B$3:$D$44,2,0)</f>
        <v>53252.070497745408</v>
      </c>
      <c r="S52" s="16">
        <f t="shared" si="24"/>
        <v>693736.24320000003</v>
      </c>
      <c r="T52" s="16">
        <f t="shared" si="25"/>
        <v>563075.61111959082</v>
      </c>
      <c r="V52" s="16">
        <f t="shared" si="26"/>
        <v>487267.12320000003</v>
      </c>
      <c r="W52" s="16">
        <f>D52*$B$12*VLOOKUP($A52,NPV!$B$3:$D$44,2,0)</f>
        <v>359071.10392765474</v>
      </c>
      <c r="X52" s="16">
        <f t="shared" si="27"/>
        <v>45423.206400000003</v>
      </c>
      <c r="Y52" s="16">
        <f>D52*$B$13*VLOOKUP($A52,NPV!$B$3:$D$44,2,0)</f>
        <v>33472.730027154255</v>
      </c>
      <c r="Z52" s="16">
        <f t="shared" si="28"/>
        <v>43358.515200000009</v>
      </c>
      <c r="AA52" s="16">
        <f>D52*$B$14*VLOOKUP($A52,NPV!$B$3:$D$44,2,0)</f>
        <v>31951.242298647248</v>
      </c>
      <c r="AB52" s="16">
        <f t="shared" si="29"/>
        <v>576048.84480000008</v>
      </c>
      <c r="AC52" s="16">
        <f t="shared" si="30"/>
        <v>513276.79785345629</v>
      </c>
      <c r="AE52" s="16">
        <f t="shared" si="31"/>
        <v>5899640.0320000006</v>
      </c>
      <c r="AF52" s="16">
        <f t="shared" si="32"/>
        <v>4488130.1518449681</v>
      </c>
      <c r="AI52" s="61"/>
      <c r="AJ52" s="61"/>
      <c r="AK52" s="61"/>
    </row>
    <row r="53" spans="1:37" x14ac:dyDescent="0.25">
      <c r="A53" s="5">
        <f t="shared" si="33"/>
        <v>2033</v>
      </c>
      <c r="B53" s="10">
        <f t="shared" si="19"/>
        <v>14664</v>
      </c>
      <c r="C53" s="10">
        <f>B53*'Inputs &amp; Parameters'!$C$19/60</f>
        <v>53768</v>
      </c>
      <c r="D53" s="10">
        <f>B53*'Inputs &amp; Parameters'!$B$19</f>
        <v>2064691.2000000002</v>
      </c>
      <c r="E53" s="9"/>
      <c r="F53" s="16">
        <f>D53*'Truck Diversion (No Build)- Dry'!$B$17</f>
        <v>2725392.3840000005</v>
      </c>
      <c r="G53" s="16">
        <f>D53*'Truck Diversion (No Build)- Dry'!$B$17*VLOOKUP($A53,NPV!$B$3:$D$44,2,0)</f>
        <v>1947976.5292233324</v>
      </c>
      <c r="H53" s="16">
        <f>C53*'Truck Diversion (No Build)- Dry'!$B$9*$B$8</f>
        <v>1801228</v>
      </c>
      <c r="I53" s="16">
        <f>C53*'Truck Diversion (No Build)- Dry'!$B$9*$B$8*VLOOKUP($A53,NPV!$B$3:$D$44,2,0)</f>
        <v>1287429.2481254267</v>
      </c>
      <c r="J53" s="16">
        <f>D53*'Truck Diversion (No Build)- Dry'!$B$18</f>
        <v>103234.56000000001</v>
      </c>
      <c r="K53" s="16">
        <f>D53*'Truck Diversion (No Build)- Dry'!$B$18*VLOOKUP($A53,NPV!$B$3:$D$44,2,0)</f>
        <v>73786.989743308048</v>
      </c>
      <c r="L53" s="16">
        <f t="shared" si="20"/>
        <v>4629854.9440000001</v>
      </c>
      <c r="M53" s="16">
        <f t="shared" si="21"/>
        <v>3309192.7670920673</v>
      </c>
      <c r="N53" s="8"/>
      <c r="O53" s="16">
        <f t="shared" si="22"/>
        <v>621472.05119999999</v>
      </c>
      <c r="P53" s="16">
        <f>D53*$B$16*VLOOKUP($A53,NPV!$B$3:$D$44,3,0)</f>
        <v>499827.00060965249</v>
      </c>
      <c r="Q53" s="16">
        <f t="shared" si="23"/>
        <v>72264.19200000001</v>
      </c>
      <c r="R53" s="16">
        <f>D53*$B$15*VLOOKUP($A53,NPV!$B$3:$D$44,2,0)</f>
        <v>51650.892820315632</v>
      </c>
      <c r="S53" s="16">
        <f t="shared" si="24"/>
        <v>693736.24320000003</v>
      </c>
      <c r="T53" s="16">
        <f t="shared" si="25"/>
        <v>551477.89342996816</v>
      </c>
      <c r="V53" s="16">
        <f t="shared" si="26"/>
        <v>487267.12320000003</v>
      </c>
      <c r="W53" s="16">
        <f>D53*$B$12*VLOOKUP($A53,NPV!$B$3:$D$44,2,0)</f>
        <v>348274.59158841392</v>
      </c>
      <c r="X53" s="16">
        <f t="shared" si="27"/>
        <v>45423.206400000003</v>
      </c>
      <c r="Y53" s="16">
        <f>D53*$B$13*VLOOKUP($A53,NPV!$B$3:$D$44,2,0)</f>
        <v>32466.275487055536</v>
      </c>
      <c r="Z53" s="16">
        <f t="shared" si="28"/>
        <v>43358.515200000009</v>
      </c>
      <c r="AA53" s="16">
        <f>D53*$B$14*VLOOKUP($A53,NPV!$B$3:$D$44,2,0)</f>
        <v>30990.53569218938</v>
      </c>
      <c r="AB53" s="16">
        <f t="shared" si="29"/>
        <v>576048.84480000008</v>
      </c>
      <c r="AC53" s="16">
        <f t="shared" si="30"/>
        <v>500513.12436765886</v>
      </c>
      <c r="AE53" s="16">
        <f t="shared" si="31"/>
        <v>5899640.0320000006</v>
      </c>
      <c r="AF53" s="16">
        <f t="shared" si="32"/>
        <v>4361183.7848896943</v>
      </c>
      <c r="AI53" s="61"/>
      <c r="AJ53" s="61"/>
      <c r="AK53" s="61"/>
    </row>
    <row r="54" spans="1:37" x14ac:dyDescent="0.25">
      <c r="A54" s="5">
        <f t="shared" si="33"/>
        <v>2034</v>
      </c>
      <c r="B54" s="10">
        <f t="shared" si="19"/>
        <v>14664</v>
      </c>
      <c r="C54" s="10">
        <f>B54*'Inputs &amp; Parameters'!$C$19/60</f>
        <v>53768</v>
      </c>
      <c r="D54" s="10">
        <f>B54*'Inputs &amp; Parameters'!$B$19</f>
        <v>2064691.2000000002</v>
      </c>
      <c r="E54" s="9"/>
      <c r="F54" s="16">
        <f>D54*'Truck Diversion (No Build)- Dry'!$B$17</f>
        <v>2725392.3840000005</v>
      </c>
      <c r="G54" s="16">
        <f>D54*'Truck Diversion (No Build)- Dry'!$B$17*VLOOKUP($A54,NPV!$B$3:$D$44,2,0)</f>
        <v>1889404.9749983826</v>
      </c>
      <c r="H54" s="16">
        <f>C54*'Truck Diversion (No Build)- Dry'!$B$9*$B$8</f>
        <v>1801228</v>
      </c>
      <c r="I54" s="16">
        <f>C54*'Truck Diversion (No Build)- Dry'!$B$9*$B$8*VLOOKUP($A54,NPV!$B$3:$D$44,2,0)</f>
        <v>1248718.960354439</v>
      </c>
      <c r="J54" s="16">
        <f>D54*'Truck Diversion (No Build)- Dry'!$B$18</f>
        <v>103234.56000000001</v>
      </c>
      <c r="K54" s="16">
        <f>D54*'Truck Diversion (No Build)- Dry'!$B$18*VLOOKUP($A54,NPV!$B$3:$D$44,2,0)</f>
        <v>71568.370265090241</v>
      </c>
      <c r="L54" s="16">
        <f t="shared" si="20"/>
        <v>4629854.9440000001</v>
      </c>
      <c r="M54" s="16">
        <f t="shared" si="21"/>
        <v>3209692.3056179122</v>
      </c>
      <c r="N54" s="8"/>
      <c r="O54" s="16">
        <f t="shared" si="22"/>
        <v>621472.05119999999</v>
      </c>
      <c r="P54" s="16">
        <f>D54*$B$16*VLOOKUP($A54,NPV!$B$3:$D$44,3,0)</f>
        <v>490026.47118593374</v>
      </c>
      <c r="Q54" s="16">
        <f t="shared" si="23"/>
        <v>72264.19200000001</v>
      </c>
      <c r="R54" s="16">
        <f>D54*$B$15*VLOOKUP($A54,NPV!$B$3:$D$44,2,0)</f>
        <v>50097.859185563168</v>
      </c>
      <c r="S54" s="16">
        <f t="shared" si="24"/>
        <v>693736.24320000003</v>
      </c>
      <c r="T54" s="16">
        <f t="shared" si="25"/>
        <v>540124.33037149697</v>
      </c>
      <c r="V54" s="16">
        <f t="shared" si="26"/>
        <v>487267.12320000003</v>
      </c>
      <c r="W54" s="16">
        <f>D54*$B$12*VLOOKUP($A54,NPV!$B$3:$D$44,2,0)</f>
        <v>337802.70765122591</v>
      </c>
      <c r="X54" s="16">
        <f t="shared" si="27"/>
        <v>45423.206400000003</v>
      </c>
      <c r="Y54" s="16">
        <f>D54*$B$13*VLOOKUP($A54,NPV!$B$3:$D$44,2,0)</f>
        <v>31490.082916639705</v>
      </c>
      <c r="Z54" s="16">
        <f t="shared" si="28"/>
        <v>43358.515200000009</v>
      </c>
      <c r="AA54" s="16">
        <f>D54*$B$14*VLOOKUP($A54,NPV!$B$3:$D$44,2,0)</f>
        <v>30058.715511337905</v>
      </c>
      <c r="AB54" s="16">
        <f t="shared" si="29"/>
        <v>576048.84480000008</v>
      </c>
      <c r="AC54" s="16">
        <f t="shared" si="30"/>
        <v>488133.22767920356</v>
      </c>
      <c r="AE54" s="16">
        <f t="shared" si="31"/>
        <v>5899640.0320000006</v>
      </c>
      <c r="AF54" s="16">
        <f t="shared" si="32"/>
        <v>4237949.8636686122</v>
      </c>
      <c r="AI54" s="61"/>
      <c r="AJ54" s="61"/>
      <c r="AK54" s="61"/>
    </row>
    <row r="55" spans="1:37" x14ac:dyDescent="0.25">
      <c r="A55" s="5">
        <f t="shared" si="33"/>
        <v>2035</v>
      </c>
      <c r="B55" s="10">
        <f t="shared" si="19"/>
        <v>14664</v>
      </c>
      <c r="C55" s="10">
        <f>B55*'Inputs &amp; Parameters'!$C$19/60</f>
        <v>53768</v>
      </c>
      <c r="D55" s="10">
        <f>B55*'Inputs &amp; Parameters'!$B$19</f>
        <v>2064691.2000000002</v>
      </c>
      <c r="E55" s="9"/>
      <c r="F55" s="16">
        <f>D55*'Truck Diversion (No Build)- Dry'!$B$17</f>
        <v>2725392.3840000005</v>
      </c>
      <c r="G55" s="16">
        <f>D55*'Truck Diversion (No Build)- Dry'!$B$17*VLOOKUP($A55,NPV!$B$3:$D$44,2,0)</f>
        <v>1832594.5441303421</v>
      </c>
      <c r="H55" s="16">
        <f>C55*'Truck Diversion (No Build)- Dry'!$B$9*$B$8</f>
        <v>1801228</v>
      </c>
      <c r="I55" s="16">
        <f>C55*'Truck Diversion (No Build)- Dry'!$B$9*$B$8*VLOOKUP($A55,NPV!$B$3:$D$44,2,0)</f>
        <v>1211172.6094611436</v>
      </c>
      <c r="J55" s="16">
        <f>D55*'Truck Diversion (No Build)- Dry'!$B$18</f>
        <v>103234.56000000001</v>
      </c>
      <c r="K55" s="16">
        <f>D55*'Truck Diversion (No Build)- Dry'!$B$18*VLOOKUP($A55,NPV!$B$3:$D$44,2,0)</f>
        <v>69416.460004937195</v>
      </c>
      <c r="L55" s="16">
        <f t="shared" si="20"/>
        <v>4629854.9440000001</v>
      </c>
      <c r="M55" s="16">
        <f t="shared" si="21"/>
        <v>3113183.6135964231</v>
      </c>
      <c r="N55" s="8"/>
      <c r="O55" s="16">
        <f t="shared" si="22"/>
        <v>621472.05119999999</v>
      </c>
      <c r="P55" s="16">
        <f>D55*$B$16*VLOOKUP($A55,NPV!$B$3:$D$44,3,0)</f>
        <v>480418.10900581744</v>
      </c>
      <c r="Q55" s="16">
        <f t="shared" si="23"/>
        <v>72264.19200000001</v>
      </c>
      <c r="R55" s="16">
        <f>D55*$B$15*VLOOKUP($A55,NPV!$B$3:$D$44,2,0)</f>
        <v>48591.522003456033</v>
      </c>
      <c r="S55" s="16">
        <f t="shared" si="24"/>
        <v>693736.24320000003</v>
      </c>
      <c r="T55" s="16">
        <f t="shared" si="25"/>
        <v>529009.63100927346</v>
      </c>
      <c r="V55" s="16">
        <f t="shared" si="26"/>
        <v>487267.12320000003</v>
      </c>
      <c r="W55" s="16">
        <f>D55*$B$12*VLOOKUP($A55,NPV!$B$3:$D$44,2,0)</f>
        <v>327645.69122330355</v>
      </c>
      <c r="X55" s="16">
        <f t="shared" si="27"/>
        <v>45423.206400000003</v>
      </c>
      <c r="Y55" s="16">
        <f>D55*$B$13*VLOOKUP($A55,NPV!$B$3:$D$44,2,0)</f>
        <v>30543.242402172364</v>
      </c>
      <c r="Z55" s="16">
        <f t="shared" si="28"/>
        <v>43358.515200000009</v>
      </c>
      <c r="AA55" s="16">
        <f>D55*$B$14*VLOOKUP($A55,NPV!$B$3:$D$44,2,0)</f>
        <v>29154.913202073622</v>
      </c>
      <c r="AB55" s="16">
        <f t="shared" si="29"/>
        <v>576048.84480000008</v>
      </c>
      <c r="AC55" s="16">
        <f t="shared" si="30"/>
        <v>476125.56842754956</v>
      </c>
      <c r="AE55" s="16">
        <f t="shared" si="31"/>
        <v>5899640.0320000006</v>
      </c>
      <c r="AF55" s="16">
        <f t="shared" si="32"/>
        <v>4118318.8130332464</v>
      </c>
      <c r="AI55" s="61"/>
      <c r="AJ55" s="61"/>
      <c r="AK55" s="61"/>
    </row>
    <row r="56" spans="1:37" x14ac:dyDescent="0.25">
      <c r="A56" s="5">
        <f t="shared" si="33"/>
        <v>2036</v>
      </c>
      <c r="B56" s="10">
        <f t="shared" si="19"/>
        <v>14664</v>
      </c>
      <c r="C56" s="10">
        <f>B56*'Inputs &amp; Parameters'!$C$19/60</f>
        <v>53768</v>
      </c>
      <c r="D56" s="10">
        <f>B56*'Inputs &amp; Parameters'!$B$19</f>
        <v>2064691.2000000002</v>
      </c>
      <c r="E56" s="9"/>
      <c r="F56" s="16">
        <f>D56*'Truck Diversion (No Build)- Dry'!$B$17</f>
        <v>2725392.3840000005</v>
      </c>
      <c r="G56" s="16">
        <f>D56*'Truck Diversion (No Build)- Dry'!$B$17*VLOOKUP($A56,NPV!$B$3:$D$44,2,0)</f>
        <v>1777492.2833465978</v>
      </c>
      <c r="H56" s="16">
        <f>C56*'Truck Diversion (No Build)- Dry'!$B$9*$B$8</f>
        <v>1801228</v>
      </c>
      <c r="I56" s="16">
        <f>C56*'Truck Diversion (No Build)- Dry'!$B$9*$B$8*VLOOKUP($A56,NPV!$B$3:$D$44,2,0)</f>
        <v>1174755.1983134276</v>
      </c>
      <c r="J56" s="16">
        <f>D56*'Truck Diversion (No Build)- Dry'!$B$18</f>
        <v>103234.56000000001</v>
      </c>
      <c r="K56" s="16">
        <f>D56*'Truck Diversion (No Build)- Dry'!$B$18*VLOOKUP($A56,NPV!$B$3:$D$44,2,0)</f>
        <v>67329.253157068088</v>
      </c>
      <c r="L56" s="16">
        <f t="shared" si="20"/>
        <v>4629854.9440000001</v>
      </c>
      <c r="M56" s="16">
        <f t="shared" si="21"/>
        <v>3019576.7348170932</v>
      </c>
      <c r="N56" s="8"/>
      <c r="O56" s="16">
        <f t="shared" si="22"/>
        <v>621472.05119999999</v>
      </c>
      <c r="P56" s="16">
        <f>D56*$B$16*VLOOKUP($A56,NPV!$B$3:$D$44,3,0)</f>
        <v>470998.1460841347</v>
      </c>
      <c r="Q56" s="16">
        <f t="shared" si="23"/>
        <v>72264.19200000001</v>
      </c>
      <c r="R56" s="16">
        <f>D56*$B$15*VLOOKUP($A56,NPV!$B$3:$D$44,2,0)</f>
        <v>47130.477209947669</v>
      </c>
      <c r="S56" s="16">
        <f t="shared" si="24"/>
        <v>693736.24320000003</v>
      </c>
      <c r="T56" s="16">
        <f t="shared" si="25"/>
        <v>518128.62329408235</v>
      </c>
      <c r="V56" s="16">
        <f t="shared" si="26"/>
        <v>487267.12320000003</v>
      </c>
      <c r="W56" s="16">
        <f>D56*$B$12*VLOOKUP($A56,NPV!$B$3:$D$44,2,0)</f>
        <v>317794.07490136137</v>
      </c>
      <c r="X56" s="16">
        <f t="shared" si="27"/>
        <v>45423.206400000003</v>
      </c>
      <c r="Y56" s="16">
        <f>D56*$B$13*VLOOKUP($A56,NPV!$B$3:$D$44,2,0)</f>
        <v>29624.871389109958</v>
      </c>
      <c r="Z56" s="16">
        <f t="shared" si="28"/>
        <v>43358.515200000009</v>
      </c>
      <c r="AA56" s="16">
        <f>D56*$B$14*VLOOKUP($A56,NPV!$B$3:$D$44,2,0)</f>
        <v>28278.286325968602</v>
      </c>
      <c r="AB56" s="16">
        <f t="shared" si="29"/>
        <v>576048.84480000008</v>
      </c>
      <c r="AC56" s="16">
        <f t="shared" si="30"/>
        <v>464478.95421643998</v>
      </c>
      <c r="AE56" s="16">
        <f t="shared" si="31"/>
        <v>5899640.0320000006</v>
      </c>
      <c r="AF56" s="16">
        <f t="shared" si="32"/>
        <v>4002184.3123276159</v>
      </c>
      <c r="AI56" s="61"/>
      <c r="AJ56" s="61"/>
      <c r="AK56" s="61"/>
    </row>
    <row r="57" spans="1:37" x14ac:dyDescent="0.25">
      <c r="A57" s="5">
        <f t="shared" si="33"/>
        <v>2037</v>
      </c>
      <c r="B57" s="10">
        <f t="shared" si="19"/>
        <v>14664</v>
      </c>
      <c r="C57" s="10">
        <f>B57*'Inputs &amp; Parameters'!$C$19/60</f>
        <v>53768</v>
      </c>
      <c r="D57" s="10">
        <f>B57*'Inputs &amp; Parameters'!$B$19</f>
        <v>2064691.2000000002</v>
      </c>
      <c r="E57" s="9"/>
      <c r="F57" s="16">
        <f>D57*'Truck Diversion (No Build)- Dry'!$B$17</f>
        <v>2725392.3840000005</v>
      </c>
      <c r="G57" s="16">
        <f>D57*'Truck Diversion (No Build)- Dry'!$B$17*VLOOKUP($A57,NPV!$B$3:$D$44,2,0)</f>
        <v>1724046.8315679901</v>
      </c>
      <c r="H57" s="16">
        <f>C57*'Truck Diversion (No Build)- Dry'!$B$9*$B$8</f>
        <v>1801228</v>
      </c>
      <c r="I57" s="16">
        <f>C57*'Truck Diversion (No Build)- Dry'!$B$9*$B$8*VLOOKUP($A57,NPV!$B$3:$D$44,2,0)</f>
        <v>1139432.78206928</v>
      </c>
      <c r="J57" s="16">
        <f>D57*'Truck Diversion (No Build)- Dry'!$B$18</f>
        <v>103234.56000000001</v>
      </c>
      <c r="K57" s="16">
        <f>D57*'Truck Diversion (No Build)- Dry'!$B$18*VLOOKUP($A57,NPV!$B$3:$D$44,2,0)</f>
        <v>65304.804226060231</v>
      </c>
      <c r="L57" s="16">
        <f t="shared" si="20"/>
        <v>4629854.9440000001</v>
      </c>
      <c r="M57" s="16">
        <f t="shared" si="21"/>
        <v>2928784.4178633308</v>
      </c>
      <c r="N57" s="8"/>
      <c r="O57" s="16">
        <f t="shared" si="22"/>
        <v>621472.05119999999</v>
      </c>
      <c r="P57" s="16">
        <f>D57*$B$16*VLOOKUP($A57,NPV!$B$3:$D$44,3,0)</f>
        <v>461762.88831777923</v>
      </c>
      <c r="Q57" s="16">
        <f t="shared" si="23"/>
        <v>72264.19200000001</v>
      </c>
      <c r="R57" s="16">
        <f>D57*$B$15*VLOOKUP($A57,NPV!$B$3:$D$44,2,0)</f>
        <v>45713.362958242164</v>
      </c>
      <c r="S57" s="16">
        <f t="shared" si="24"/>
        <v>693736.24320000003</v>
      </c>
      <c r="T57" s="16">
        <f t="shared" si="25"/>
        <v>507476.25127602142</v>
      </c>
      <c r="V57" s="16">
        <f t="shared" si="26"/>
        <v>487267.12320000003</v>
      </c>
      <c r="W57" s="16">
        <f>D57*$B$12*VLOOKUP($A57,NPV!$B$3:$D$44,2,0)</f>
        <v>308238.67594700429</v>
      </c>
      <c r="X57" s="16">
        <f t="shared" si="27"/>
        <v>45423.206400000003</v>
      </c>
      <c r="Y57" s="16">
        <f>D57*$B$13*VLOOKUP($A57,NPV!$B$3:$D$44,2,0)</f>
        <v>28734.113859466499</v>
      </c>
      <c r="Z57" s="16">
        <f t="shared" si="28"/>
        <v>43358.515200000009</v>
      </c>
      <c r="AA57" s="16">
        <f>D57*$B$14*VLOOKUP($A57,NPV!$B$3:$D$44,2,0)</f>
        <v>27428.0177749453</v>
      </c>
      <c r="AB57" s="16">
        <f t="shared" si="29"/>
        <v>576048.84480000008</v>
      </c>
      <c r="AC57" s="16">
        <f t="shared" si="30"/>
        <v>453182.52918141615</v>
      </c>
      <c r="AE57" s="16">
        <f t="shared" si="31"/>
        <v>5899640.0320000006</v>
      </c>
      <c r="AF57" s="16">
        <f t="shared" si="32"/>
        <v>3889443.1983207683</v>
      </c>
      <c r="AI57" s="61"/>
      <c r="AJ57" s="61"/>
      <c r="AK57" s="61"/>
    </row>
    <row r="58" spans="1:37" x14ac:dyDescent="0.25">
      <c r="A58" s="5">
        <f t="shared" si="33"/>
        <v>2038</v>
      </c>
      <c r="B58" s="10">
        <f t="shared" si="19"/>
        <v>14664</v>
      </c>
      <c r="C58" s="10">
        <f>B58*'Inputs &amp; Parameters'!$C$19/60</f>
        <v>53768</v>
      </c>
      <c r="D58" s="10">
        <f>B58*'Inputs &amp; Parameters'!$B$19</f>
        <v>2064691.2000000002</v>
      </c>
      <c r="E58" s="9"/>
      <c r="F58" s="16">
        <f>D58*'Truck Diversion (No Build)- Dry'!$B$17</f>
        <v>2725392.3840000005</v>
      </c>
      <c r="G58" s="16">
        <f>D58*'Truck Diversion (No Build)- Dry'!$B$17*VLOOKUP($A58,NPV!$B$3:$D$44,2,0)</f>
        <v>1672208.3720349078</v>
      </c>
      <c r="H58" s="16">
        <f>C58*'Truck Diversion (No Build)- Dry'!$B$9*$B$8</f>
        <v>1801228</v>
      </c>
      <c r="I58" s="16">
        <f>C58*'Truck Diversion (No Build)- Dry'!$B$9*$B$8*VLOOKUP($A58,NPV!$B$3:$D$44,2,0)</f>
        <v>1105172.4365366439</v>
      </c>
      <c r="J58" s="16">
        <f>D58*'Truck Diversion (No Build)- Dry'!$B$18</f>
        <v>103234.56000000001</v>
      </c>
      <c r="K58" s="16">
        <f>D58*'Truck Diversion (No Build)- Dry'!$B$18*VLOOKUP($A58,NPV!$B$3:$D$44,2,0)</f>
        <v>63341.226213443471</v>
      </c>
      <c r="L58" s="16">
        <f t="shared" si="20"/>
        <v>4629854.9440000001</v>
      </c>
      <c r="M58" s="16">
        <f t="shared" si="21"/>
        <v>2840722.0347849955</v>
      </c>
      <c r="N58" s="8"/>
      <c r="O58" s="16">
        <f t="shared" si="22"/>
        <v>621472.05119999999</v>
      </c>
      <c r="P58" s="16">
        <f>D58*$B$16*VLOOKUP($A58,NPV!$B$3:$D$44,3,0)</f>
        <v>452708.71403703839</v>
      </c>
      <c r="Q58" s="16">
        <f t="shared" si="23"/>
        <v>72264.19200000001</v>
      </c>
      <c r="R58" s="16">
        <f>D58*$B$15*VLOOKUP($A58,NPV!$B$3:$D$44,2,0)</f>
        <v>44338.858349410431</v>
      </c>
      <c r="S58" s="16">
        <f t="shared" si="24"/>
        <v>693736.24320000003</v>
      </c>
      <c r="T58" s="16">
        <f t="shared" si="25"/>
        <v>497047.5723864488</v>
      </c>
      <c r="V58" s="16">
        <f t="shared" si="26"/>
        <v>487267.12320000003</v>
      </c>
      <c r="W58" s="16">
        <f>D58*$B$12*VLOOKUP($A58,NPV!$B$3:$D$44,2,0)</f>
        <v>298970.58772745321</v>
      </c>
      <c r="X58" s="16">
        <f t="shared" si="27"/>
        <v>45423.206400000003</v>
      </c>
      <c r="Y58" s="16">
        <f>D58*$B$13*VLOOKUP($A58,NPV!$B$3:$D$44,2,0)</f>
        <v>27870.139533915128</v>
      </c>
      <c r="Z58" s="16">
        <f t="shared" si="28"/>
        <v>43358.515200000009</v>
      </c>
      <c r="AA58" s="16">
        <f>D58*$B$14*VLOOKUP($A58,NPV!$B$3:$D$44,2,0)</f>
        <v>26603.315009646263</v>
      </c>
      <c r="AB58" s="16">
        <f t="shared" si="29"/>
        <v>576048.84480000008</v>
      </c>
      <c r="AC58" s="16">
        <f t="shared" si="30"/>
        <v>442225.7638710147</v>
      </c>
      <c r="AE58" s="16">
        <f t="shared" si="31"/>
        <v>5899640.0320000006</v>
      </c>
      <c r="AF58" s="16">
        <f t="shared" si="32"/>
        <v>3779995.3710424588</v>
      </c>
      <c r="AI58" s="61"/>
      <c r="AJ58" s="61"/>
      <c r="AK58" s="61"/>
    </row>
    <row r="59" spans="1:37" x14ac:dyDescent="0.25">
      <c r="A59" s="5">
        <f t="shared" si="33"/>
        <v>2039</v>
      </c>
      <c r="B59" s="10">
        <f t="shared" si="19"/>
        <v>14664</v>
      </c>
      <c r="C59" s="10">
        <f>B59*'Inputs &amp; Parameters'!$C$19/60</f>
        <v>53768</v>
      </c>
      <c r="D59" s="10">
        <f>B59*'Inputs &amp; Parameters'!$B$19</f>
        <v>2064691.2000000002</v>
      </c>
      <c r="E59" s="9"/>
      <c r="F59" s="16">
        <f>D59*'Truck Diversion (No Build)- Dry'!$B$17</f>
        <v>2725392.3840000005</v>
      </c>
      <c r="G59" s="16">
        <f>D59*'Truck Diversion (No Build)- Dry'!$B$17*VLOOKUP($A59,NPV!$B$3:$D$44,2,0)</f>
        <v>1621928.5858728494</v>
      </c>
      <c r="H59" s="16">
        <f>C59*'Truck Diversion (No Build)- Dry'!$B$9*$B$8</f>
        <v>1801228</v>
      </c>
      <c r="I59" s="16">
        <f>C59*'Truck Diversion (No Build)- Dry'!$B$9*$B$8*VLOOKUP($A59,NPV!$B$3:$D$44,2,0)</f>
        <v>1071942.2274846206</v>
      </c>
      <c r="J59" s="16">
        <f>D59*'Truck Diversion (No Build)- Dry'!$B$18</f>
        <v>103234.56000000001</v>
      </c>
      <c r="K59" s="16">
        <f>D59*'Truck Diversion (No Build)- Dry'!$B$18*VLOOKUP($A59,NPV!$B$3:$D$44,2,0)</f>
        <v>61436.688858820053</v>
      </c>
      <c r="L59" s="16">
        <f t="shared" si="20"/>
        <v>4629854.9440000001</v>
      </c>
      <c r="M59" s="16">
        <f t="shared" si="21"/>
        <v>2755307.5022162902</v>
      </c>
      <c r="N59" s="8"/>
      <c r="O59" s="16">
        <f t="shared" si="22"/>
        <v>621472.05119999999</v>
      </c>
      <c r="P59" s="16">
        <f>D59*$B$16*VLOOKUP($A59,NPV!$B$3:$D$44,3,0)</f>
        <v>443832.07258533168</v>
      </c>
      <c r="Q59" s="16">
        <f t="shared" si="23"/>
        <v>72264.19200000001</v>
      </c>
      <c r="R59" s="16">
        <f>D59*$B$15*VLOOKUP($A59,NPV!$B$3:$D$44,2,0)</f>
        <v>43005.682201174037</v>
      </c>
      <c r="S59" s="16">
        <f t="shared" si="24"/>
        <v>693736.24320000003</v>
      </c>
      <c r="T59" s="16">
        <f t="shared" si="25"/>
        <v>486837.75478650571</v>
      </c>
      <c r="V59" s="16">
        <f t="shared" si="26"/>
        <v>487267.12320000003</v>
      </c>
      <c r="W59" s="16">
        <f>D59*$B$12*VLOOKUP($A59,NPV!$B$3:$D$44,2,0)</f>
        <v>289981.17141363065</v>
      </c>
      <c r="X59" s="16">
        <f t="shared" si="27"/>
        <v>45423.206400000003</v>
      </c>
      <c r="Y59" s="16">
        <f>D59*$B$13*VLOOKUP($A59,NPV!$B$3:$D$44,2,0)</f>
        <v>27032.14309788082</v>
      </c>
      <c r="Z59" s="16">
        <f t="shared" si="28"/>
        <v>43358.515200000009</v>
      </c>
      <c r="AA59" s="16">
        <f>D59*$B$14*VLOOKUP($A59,NPV!$B$3:$D$44,2,0)</f>
        <v>25803.409320704424</v>
      </c>
      <c r="AB59" s="16">
        <f t="shared" si="29"/>
        <v>576048.84480000008</v>
      </c>
      <c r="AC59" s="16">
        <f t="shared" si="30"/>
        <v>431598.44543221593</v>
      </c>
      <c r="AE59" s="16">
        <f t="shared" si="31"/>
        <v>5899640.0320000006</v>
      </c>
      <c r="AF59" s="16">
        <f t="shared" si="32"/>
        <v>3673743.702435012</v>
      </c>
      <c r="AI59" s="61"/>
      <c r="AJ59" s="61"/>
      <c r="AK59" s="61"/>
    </row>
    <row r="60" spans="1:37" x14ac:dyDescent="0.25">
      <c r="A60" s="5">
        <f t="shared" si="33"/>
        <v>2040</v>
      </c>
      <c r="B60" s="10">
        <f t="shared" si="19"/>
        <v>14664</v>
      </c>
      <c r="C60" s="10">
        <f>B60*'Inputs &amp; Parameters'!$C$19/60</f>
        <v>53768</v>
      </c>
      <c r="D60" s="10">
        <f>B60*'Inputs &amp; Parameters'!$B$19</f>
        <v>2064691.2000000002</v>
      </c>
      <c r="E60" s="9"/>
      <c r="F60" s="16">
        <f>D60*'Truck Diversion (No Build)- Dry'!$B$17</f>
        <v>2725392.3840000005</v>
      </c>
      <c r="G60" s="16">
        <f>D60*'Truck Diversion (No Build)- Dry'!$B$17*VLOOKUP($A60,NPV!$B$3:$D$44,2,0)</f>
        <v>1573160.6070541705</v>
      </c>
      <c r="H60" s="16">
        <f>C60*'Truck Diversion (No Build)- Dry'!$B$9*$B$8</f>
        <v>1801228</v>
      </c>
      <c r="I60" s="16">
        <f>C60*'Truck Diversion (No Build)- Dry'!$B$9*$B$8*VLOOKUP($A60,NPV!$B$3:$D$44,2,0)</f>
        <v>1039711.1808774207</v>
      </c>
      <c r="J60" s="16">
        <f>D60*'Truck Diversion (No Build)- Dry'!$B$18</f>
        <v>103234.56000000001</v>
      </c>
      <c r="K60" s="16">
        <f>D60*'Truck Diversion (No Build)- Dry'!$B$18*VLOOKUP($A60,NPV!$B$3:$D$44,2,0)</f>
        <v>59589.416933870089</v>
      </c>
      <c r="L60" s="16">
        <f t="shared" si="20"/>
        <v>4629854.9440000001</v>
      </c>
      <c r="M60" s="16">
        <f t="shared" si="21"/>
        <v>2672461.2048654612</v>
      </c>
      <c r="N60" s="8"/>
      <c r="O60" s="16">
        <f t="shared" si="22"/>
        <v>621472.05119999999</v>
      </c>
      <c r="P60" s="16">
        <f>D60*$B$16*VLOOKUP($A60,NPV!$B$3:$D$44,3,0)</f>
        <v>435129.48292679584</v>
      </c>
      <c r="Q60" s="16">
        <f t="shared" si="23"/>
        <v>72264.19200000001</v>
      </c>
      <c r="R60" s="16">
        <f>D60*$B$15*VLOOKUP($A60,NPV!$B$3:$D$44,2,0)</f>
        <v>41712.591853709062</v>
      </c>
      <c r="S60" s="16">
        <f t="shared" si="24"/>
        <v>693736.24320000003</v>
      </c>
      <c r="T60" s="16">
        <f t="shared" si="25"/>
        <v>476842.07478050492</v>
      </c>
      <c r="V60" s="16">
        <f t="shared" si="26"/>
        <v>487267.12320000003</v>
      </c>
      <c r="W60" s="16">
        <f>D60*$B$12*VLOOKUP($A60,NPV!$B$3:$D$44,2,0)</f>
        <v>281262.04792786681</v>
      </c>
      <c r="X60" s="16">
        <f t="shared" si="27"/>
        <v>45423.206400000003</v>
      </c>
      <c r="Y60" s="16">
        <f>D60*$B$13*VLOOKUP($A60,NPV!$B$3:$D$44,2,0)</f>
        <v>26219.343450902838</v>
      </c>
      <c r="Z60" s="16">
        <f t="shared" si="28"/>
        <v>43358.515200000009</v>
      </c>
      <c r="AA60" s="16">
        <f>D60*$B$14*VLOOKUP($A60,NPV!$B$3:$D$44,2,0)</f>
        <v>25027.55511222544</v>
      </c>
      <c r="AB60" s="16">
        <f t="shared" si="29"/>
        <v>576048.84480000008</v>
      </c>
      <c r="AC60" s="16">
        <f t="shared" si="30"/>
        <v>421290.66809099517</v>
      </c>
      <c r="AE60" s="16">
        <f t="shared" si="31"/>
        <v>5899640.0320000006</v>
      </c>
      <c r="AF60" s="16">
        <f t="shared" si="32"/>
        <v>3570593.9477369618</v>
      </c>
      <c r="AI60" s="61"/>
      <c r="AJ60" s="61"/>
      <c r="AK60" s="61"/>
    </row>
    <row r="61" spans="1:37" x14ac:dyDescent="0.25">
      <c r="A61" s="5">
        <f t="shared" si="33"/>
        <v>2041</v>
      </c>
      <c r="B61" s="10">
        <f t="shared" si="19"/>
        <v>14664</v>
      </c>
      <c r="C61" s="10">
        <f>B61*'Inputs &amp; Parameters'!$C$19/60</f>
        <v>53768</v>
      </c>
      <c r="D61" s="10">
        <f>B61*'Inputs &amp; Parameters'!$B$19</f>
        <v>2064691.2000000002</v>
      </c>
      <c r="E61" s="9"/>
      <c r="F61" s="16">
        <f>D61*'Truck Diversion (No Build)- Dry'!$B$17</f>
        <v>2725392.3840000005</v>
      </c>
      <c r="G61" s="16">
        <f>D61*'Truck Diversion (No Build)- Dry'!$B$17*VLOOKUP($A61,NPV!$B$3:$D$44,2,0)</f>
        <v>1525858.9787140356</v>
      </c>
      <c r="H61" s="16">
        <f>C61*'Truck Diversion (No Build)- Dry'!$B$9*$B$8</f>
        <v>1801228</v>
      </c>
      <c r="I61" s="16">
        <f>C61*'Truck Diversion (No Build)- Dry'!$B$9*$B$8*VLOOKUP($A61,NPV!$B$3:$D$44,2,0)</f>
        <v>1008449.2540033179</v>
      </c>
      <c r="J61" s="16">
        <f>D61*'Truck Diversion (No Build)- Dry'!$B$18</f>
        <v>103234.56000000001</v>
      </c>
      <c r="K61" s="16">
        <f>D61*'Truck Diversion (No Build)- Dry'!$B$18*VLOOKUP($A61,NPV!$B$3:$D$44,2,0)</f>
        <v>57797.688587652854</v>
      </c>
      <c r="L61" s="16">
        <f t="shared" si="20"/>
        <v>4629854.9440000001</v>
      </c>
      <c r="M61" s="16">
        <f t="shared" si="21"/>
        <v>2592105.9213050064</v>
      </c>
      <c r="N61" s="8"/>
      <c r="O61" s="16">
        <f t="shared" si="22"/>
        <v>621472.05119999999</v>
      </c>
      <c r="P61" s="16">
        <f>D61*$B$16*VLOOKUP($A61,NPV!$B$3:$D$44,3,0)</f>
        <v>426597.5322811724</v>
      </c>
      <c r="Q61" s="16">
        <f t="shared" si="23"/>
        <v>72264.19200000001</v>
      </c>
      <c r="R61" s="16">
        <f>D61*$B$15*VLOOKUP($A61,NPV!$B$3:$D$44,2,0)</f>
        <v>40458.382011357004</v>
      </c>
      <c r="S61" s="16">
        <f t="shared" si="24"/>
        <v>693736.24320000003</v>
      </c>
      <c r="T61" s="16">
        <f t="shared" si="25"/>
        <v>467055.9142925294</v>
      </c>
      <c r="V61" s="16">
        <f t="shared" si="26"/>
        <v>487267.12320000003</v>
      </c>
      <c r="W61" s="16">
        <f>D61*$B$12*VLOOKUP($A61,NPV!$B$3:$D$44,2,0)</f>
        <v>272805.09013372147</v>
      </c>
      <c r="X61" s="16">
        <f t="shared" si="27"/>
        <v>45423.206400000003</v>
      </c>
      <c r="Y61" s="16">
        <f>D61*$B$13*VLOOKUP($A61,NPV!$B$3:$D$44,2,0)</f>
        <v>25430.982978567255</v>
      </c>
      <c r="Z61" s="16">
        <f t="shared" si="28"/>
        <v>43358.515200000009</v>
      </c>
      <c r="AA61" s="16">
        <f>D61*$B$14*VLOOKUP($A61,NPV!$B$3:$D$44,2,0)</f>
        <v>24275.029206814201</v>
      </c>
      <c r="AB61" s="16">
        <f t="shared" si="29"/>
        <v>576048.84480000008</v>
      </c>
      <c r="AC61" s="16">
        <f t="shared" si="30"/>
        <v>411292.82391910296</v>
      </c>
      <c r="AE61" s="16">
        <f t="shared" si="31"/>
        <v>5899640.0320000006</v>
      </c>
      <c r="AF61" s="16">
        <f t="shared" si="32"/>
        <v>3470454.6595166386</v>
      </c>
      <c r="AI61" s="61"/>
      <c r="AJ61" s="61"/>
      <c r="AK61" s="61"/>
    </row>
    <row r="62" spans="1:37" x14ac:dyDescent="0.25">
      <c r="A62" s="5">
        <f t="shared" si="33"/>
        <v>2042</v>
      </c>
      <c r="B62" s="10">
        <f t="shared" si="19"/>
        <v>14664</v>
      </c>
      <c r="C62" s="10">
        <f>B62*'Inputs &amp; Parameters'!$C$19/60</f>
        <v>53768</v>
      </c>
      <c r="D62" s="10">
        <f>B62*'Inputs &amp; Parameters'!$B$19</f>
        <v>2064691.2000000002</v>
      </c>
      <c r="E62" s="9"/>
      <c r="F62" s="16">
        <f>D62*'Truck Diversion (No Build)- Dry'!$B$17</f>
        <v>2725392.3840000005</v>
      </c>
      <c r="G62" s="16">
        <f>D62*'Truck Diversion (No Build)- Dry'!$B$17*VLOOKUP($A62,NPV!$B$3:$D$44,2,0)</f>
        <v>1479979.6107798601</v>
      </c>
      <c r="H62" s="16">
        <f>C62*'Truck Diversion (No Build)- Dry'!$B$9*$B$8</f>
        <v>1801228</v>
      </c>
      <c r="I62" s="16">
        <f>C62*'Truck Diversion (No Build)- Dry'!$B$9*$B$8*VLOOKUP($A62,NPV!$B$3:$D$44,2,0)</f>
        <v>978127.30747169547</v>
      </c>
      <c r="J62" s="16">
        <f>D62*'Truck Diversion (No Build)- Dry'!$B$18</f>
        <v>103234.56000000001</v>
      </c>
      <c r="K62" s="16">
        <f>D62*'Truck Diversion (No Build)- Dry'!$B$18*VLOOKUP($A62,NPV!$B$3:$D$44,2,0)</f>
        <v>56059.833741661358</v>
      </c>
      <c r="L62" s="16">
        <f t="shared" si="20"/>
        <v>4629854.9440000001</v>
      </c>
      <c r="M62" s="16">
        <f t="shared" si="21"/>
        <v>2514166.7519932166</v>
      </c>
      <c r="N62" s="8"/>
      <c r="O62" s="16">
        <f t="shared" si="22"/>
        <v>621472.05119999999</v>
      </c>
      <c r="P62" s="16">
        <f>D62*$B$16*VLOOKUP($A62,NPV!$B$3:$D$44,3,0)</f>
        <v>418232.87478546315</v>
      </c>
      <c r="Q62" s="16">
        <f t="shared" si="23"/>
        <v>72264.19200000001</v>
      </c>
      <c r="R62" s="16">
        <f>D62*$B$15*VLOOKUP($A62,NPV!$B$3:$D$44,2,0)</f>
        <v>39241.883619162953</v>
      </c>
      <c r="S62" s="16">
        <f t="shared" si="24"/>
        <v>693736.24320000003</v>
      </c>
      <c r="T62" s="16">
        <f t="shared" si="25"/>
        <v>457474.7584046261</v>
      </c>
      <c r="V62" s="16">
        <f t="shared" si="26"/>
        <v>487267.12320000003</v>
      </c>
      <c r="W62" s="16">
        <f>D62*$B$12*VLOOKUP($A62,NPV!$B$3:$D$44,2,0)</f>
        <v>264602.4152606416</v>
      </c>
      <c r="X62" s="16">
        <f t="shared" si="27"/>
        <v>45423.206400000003</v>
      </c>
      <c r="Y62" s="16">
        <f>D62*$B$13*VLOOKUP($A62,NPV!$B$3:$D$44,2,0)</f>
        <v>24666.326846330998</v>
      </c>
      <c r="Z62" s="16">
        <f t="shared" si="28"/>
        <v>43358.515200000009</v>
      </c>
      <c r="AA62" s="16">
        <f>D62*$B$14*VLOOKUP($A62,NPV!$B$3:$D$44,2,0)</f>
        <v>23545.130171497774</v>
      </c>
      <c r="AB62" s="16">
        <f t="shared" si="29"/>
        <v>576048.84480000008</v>
      </c>
      <c r="AC62" s="16">
        <f t="shared" si="30"/>
        <v>401595.59387847042</v>
      </c>
      <c r="AE62" s="16">
        <f t="shared" si="31"/>
        <v>5899640.0320000006</v>
      </c>
      <c r="AF62" s="16">
        <f t="shared" si="32"/>
        <v>3373237.104276313</v>
      </c>
      <c r="AI62" s="61"/>
      <c r="AJ62" s="61"/>
      <c r="AK62" s="61"/>
    </row>
    <row r="63" spans="1:37" x14ac:dyDescent="0.25">
      <c r="A63" s="5">
        <f t="shared" si="33"/>
        <v>2043</v>
      </c>
      <c r="B63" s="10">
        <f t="shared" si="19"/>
        <v>14664</v>
      </c>
      <c r="C63" s="10">
        <f>B63*'Inputs &amp; Parameters'!$C$19/60</f>
        <v>53768</v>
      </c>
      <c r="D63" s="10">
        <f>B63*'Inputs &amp; Parameters'!$B$19</f>
        <v>2064691.2000000002</v>
      </c>
      <c r="E63" s="9"/>
      <c r="F63" s="16">
        <f>D63*'Truck Diversion (No Build)- Dry'!$B$17</f>
        <v>2725392.3840000005</v>
      </c>
      <c r="G63" s="16">
        <f>D63*'Truck Diversion (No Build)- Dry'!$B$17*VLOOKUP($A63,NPV!$B$3:$D$44,2,0)</f>
        <v>1435479.738874743</v>
      </c>
      <c r="H63" s="16">
        <f>C63*'Truck Diversion (No Build)- Dry'!$B$9*$B$8</f>
        <v>1801228</v>
      </c>
      <c r="I63" s="16">
        <f>C63*'Truck Diversion (No Build)- Dry'!$B$9*$B$8*VLOOKUP($A63,NPV!$B$3:$D$44,2,0)</f>
        <v>948717.07805208093</v>
      </c>
      <c r="J63" s="16">
        <f>D63*'Truck Diversion (No Build)- Dry'!$B$18</f>
        <v>103234.56000000001</v>
      </c>
      <c r="K63" s="16">
        <f>D63*'Truck Diversion (No Build)- Dry'!$B$18*VLOOKUP($A63,NPV!$B$3:$D$44,2,0)</f>
        <v>54374.2325331342</v>
      </c>
      <c r="L63" s="16">
        <f t="shared" si="20"/>
        <v>4629854.9440000001</v>
      </c>
      <c r="M63" s="16">
        <f t="shared" si="21"/>
        <v>2438571.049459958</v>
      </c>
      <c r="N63" s="8"/>
      <c r="O63" s="16">
        <f t="shared" si="22"/>
        <v>621472.05119999999</v>
      </c>
      <c r="P63" s="16">
        <f>D63*$B$16*VLOOKUP($A63,NPV!$B$3:$D$44,3,0)</f>
        <v>410032.23018182657</v>
      </c>
      <c r="Q63" s="16">
        <f t="shared" si="23"/>
        <v>72264.19200000001</v>
      </c>
      <c r="R63" s="16">
        <f>D63*$B$15*VLOOKUP($A63,NPV!$B$3:$D$44,2,0)</f>
        <v>38061.96277319394</v>
      </c>
      <c r="S63" s="16">
        <f t="shared" si="24"/>
        <v>693736.24320000003</v>
      </c>
      <c r="T63" s="16">
        <f t="shared" si="25"/>
        <v>448094.19295502052</v>
      </c>
      <c r="V63" s="16">
        <f t="shared" si="26"/>
        <v>487267.12320000003</v>
      </c>
      <c r="W63" s="16">
        <f>D63*$B$12*VLOOKUP($A63,NPV!$B$3:$D$44,2,0)</f>
        <v>256646.37755639339</v>
      </c>
      <c r="X63" s="16">
        <f t="shared" si="27"/>
        <v>45423.206400000003</v>
      </c>
      <c r="Y63" s="16">
        <f>D63*$B$13*VLOOKUP($A63,NPV!$B$3:$D$44,2,0)</f>
        <v>23924.662314579047</v>
      </c>
      <c r="Z63" s="16">
        <f t="shared" si="28"/>
        <v>43358.515200000009</v>
      </c>
      <c r="AA63" s="16">
        <f>D63*$B$14*VLOOKUP($A63,NPV!$B$3:$D$44,2,0)</f>
        <v>22837.177663916365</v>
      </c>
      <c r="AB63" s="16">
        <f t="shared" si="29"/>
        <v>576048.84480000008</v>
      </c>
      <c r="AC63" s="16">
        <f t="shared" si="30"/>
        <v>392189.93913488887</v>
      </c>
      <c r="AE63" s="16">
        <f t="shared" si="31"/>
        <v>5899640.0320000006</v>
      </c>
      <c r="AF63" s="16">
        <f t="shared" si="32"/>
        <v>3278855.1815498671</v>
      </c>
      <c r="AI63" s="61"/>
      <c r="AJ63" s="61"/>
      <c r="AK63" s="61"/>
    </row>
    <row r="64" spans="1:37" x14ac:dyDescent="0.25">
      <c r="A64" s="5">
        <f t="shared" si="33"/>
        <v>2044</v>
      </c>
      <c r="B64" s="10">
        <f t="shared" si="19"/>
        <v>14664</v>
      </c>
      <c r="C64" s="10">
        <f>B64*'Inputs &amp; Parameters'!$C$19/60</f>
        <v>53768</v>
      </c>
      <c r="D64" s="10">
        <f>B64*'Inputs &amp; Parameters'!$B$19</f>
        <v>2064691.2000000002</v>
      </c>
      <c r="E64" s="9"/>
      <c r="F64" s="16">
        <f>D64*'Truck Diversion (No Build)- Dry'!$B$17</f>
        <v>2725392.3840000005</v>
      </c>
      <c r="G64" s="16">
        <f>D64*'Truck Diversion (No Build)- Dry'!$B$17*VLOOKUP($A64,NPV!$B$3:$D$44,2,0)</f>
        <v>1392317.8844565889</v>
      </c>
      <c r="H64" s="16">
        <f>C64*'Truck Diversion (No Build)- Dry'!$B$9*$B$8</f>
        <v>1801228</v>
      </c>
      <c r="I64" s="16">
        <f>C64*'Truck Diversion (No Build)- Dry'!$B$9*$B$8*VLOOKUP($A64,NPV!$B$3:$D$44,2,0)</f>
        <v>920191.1523298556</v>
      </c>
      <c r="J64" s="16">
        <f>D64*'Truck Diversion (No Build)- Dry'!$B$18</f>
        <v>103234.56000000001</v>
      </c>
      <c r="K64" s="16">
        <f>D64*'Truck Diversion (No Build)- Dry'!$B$18*VLOOKUP($A64,NPV!$B$3:$D$44,2,0)</f>
        <v>52739.313805173821</v>
      </c>
      <c r="L64" s="16">
        <f t="shared" si="20"/>
        <v>4629854.9440000001</v>
      </c>
      <c r="M64" s="16">
        <f t="shared" si="21"/>
        <v>2365248.3505916181</v>
      </c>
      <c r="N64" s="8"/>
      <c r="O64" s="16">
        <f t="shared" si="22"/>
        <v>621472.05119999999</v>
      </c>
      <c r="P64" s="16">
        <f>D64*$B$16*VLOOKUP($A64,NPV!$B$3:$D$44,3,0)</f>
        <v>401992.38253120251</v>
      </c>
      <c r="Q64" s="16">
        <f t="shared" si="23"/>
        <v>72264.19200000001</v>
      </c>
      <c r="R64" s="16">
        <f>D64*$B$15*VLOOKUP($A64,NPV!$B$3:$D$44,2,0)</f>
        <v>36917.519663621671</v>
      </c>
      <c r="S64" s="16">
        <f t="shared" si="24"/>
        <v>693736.24320000003</v>
      </c>
      <c r="T64" s="16">
        <f t="shared" si="25"/>
        <v>438909.90219482419</v>
      </c>
      <c r="V64" s="16">
        <f t="shared" si="26"/>
        <v>487267.12320000003</v>
      </c>
      <c r="W64" s="16">
        <f>D64*$B$12*VLOOKUP($A64,NPV!$B$3:$D$44,2,0)</f>
        <v>248929.56116042042</v>
      </c>
      <c r="X64" s="16">
        <f t="shared" si="27"/>
        <v>45423.206400000003</v>
      </c>
      <c r="Y64" s="16">
        <f>D64*$B$13*VLOOKUP($A64,NPV!$B$3:$D$44,2,0)</f>
        <v>23205.298074276478</v>
      </c>
      <c r="Z64" s="16">
        <f t="shared" si="28"/>
        <v>43358.515200000009</v>
      </c>
      <c r="AA64" s="16">
        <f>D64*$B$14*VLOOKUP($A64,NPV!$B$3:$D$44,2,0)</f>
        <v>22150.511798173007</v>
      </c>
      <c r="AB64" s="16">
        <f t="shared" si="29"/>
        <v>576048.84480000008</v>
      </c>
      <c r="AC64" s="16">
        <f t="shared" si="30"/>
        <v>383067.09263286996</v>
      </c>
      <c r="AE64" s="16">
        <f t="shared" si="31"/>
        <v>5899640.0320000006</v>
      </c>
      <c r="AF64" s="16">
        <f t="shared" si="32"/>
        <v>3187225.3454193119</v>
      </c>
      <c r="AI64" s="61"/>
      <c r="AJ64" s="61"/>
      <c r="AK64" s="61"/>
    </row>
    <row r="65" spans="1:37" x14ac:dyDescent="0.25">
      <c r="A65" s="5">
        <f t="shared" si="33"/>
        <v>2045</v>
      </c>
      <c r="B65" s="10">
        <f t="shared" si="19"/>
        <v>14664</v>
      </c>
      <c r="C65" s="10">
        <f>B65*'Inputs &amp; Parameters'!$C$19/60</f>
        <v>53768</v>
      </c>
      <c r="D65" s="10">
        <f>B65*'Inputs &amp; Parameters'!$B$19</f>
        <v>2064691.2000000002</v>
      </c>
      <c r="E65" s="9"/>
      <c r="F65" s="16">
        <f>D65*'Truck Diversion (No Build)- Dry'!$B$17</f>
        <v>2725392.3840000005</v>
      </c>
      <c r="G65" s="16">
        <f>D65*'Truck Diversion (No Build)- Dry'!$B$17*VLOOKUP($A65,NPV!$B$3:$D$44,2,0)</f>
        <v>1350453.8161557603</v>
      </c>
      <c r="H65" s="16">
        <f>C65*'Truck Diversion (No Build)- Dry'!$B$9*$B$8</f>
        <v>1801228</v>
      </c>
      <c r="I65" s="16">
        <f>C65*'Truck Diversion (No Build)- Dry'!$B$9*$B$8*VLOOKUP($A65,NPV!$B$3:$D$44,2,0)</f>
        <v>892522.94115407905</v>
      </c>
      <c r="J65" s="16">
        <f>D65*'Truck Diversion (No Build)- Dry'!$B$18</f>
        <v>103234.56000000001</v>
      </c>
      <c r="K65" s="16">
        <f>D65*'Truck Diversion (No Build)- Dry'!$B$18*VLOOKUP($A65,NPV!$B$3:$D$44,2,0)</f>
        <v>51153.553642263643</v>
      </c>
      <c r="L65" s="16">
        <f t="shared" si="20"/>
        <v>4629854.9440000001</v>
      </c>
      <c r="M65" s="16">
        <f t="shared" si="21"/>
        <v>2294130.3109521028</v>
      </c>
      <c r="N65" s="8"/>
      <c r="O65" s="16">
        <f t="shared" si="22"/>
        <v>621472.05119999999</v>
      </c>
      <c r="P65" s="16">
        <f>D65*$B$16*VLOOKUP($A65,NPV!$B$3:$D$44,3,0)</f>
        <v>394110.17895215942</v>
      </c>
      <c r="Q65" s="16">
        <f t="shared" si="23"/>
        <v>72264.19200000001</v>
      </c>
      <c r="R65" s="16">
        <f>D65*$B$15*VLOOKUP($A65,NPV!$B$3:$D$44,2,0)</f>
        <v>35807.487549584548</v>
      </c>
      <c r="S65" s="16">
        <f t="shared" si="24"/>
        <v>693736.24320000003</v>
      </c>
      <c r="T65" s="16">
        <f t="shared" si="25"/>
        <v>429917.66650174395</v>
      </c>
      <c r="V65" s="16">
        <f t="shared" si="26"/>
        <v>487267.12320000003</v>
      </c>
      <c r="W65" s="16">
        <f>D65*$B$12*VLOOKUP($A65,NPV!$B$3:$D$44,2,0)</f>
        <v>241444.77319148436</v>
      </c>
      <c r="X65" s="16">
        <f t="shared" si="27"/>
        <v>45423.206400000003</v>
      </c>
      <c r="Y65" s="16">
        <f>D65*$B$13*VLOOKUP($A65,NPV!$B$3:$D$44,2,0)</f>
        <v>22507.563602596001</v>
      </c>
      <c r="Z65" s="16">
        <f t="shared" si="28"/>
        <v>43358.515200000009</v>
      </c>
      <c r="AA65" s="16">
        <f>D65*$B$14*VLOOKUP($A65,NPV!$B$3:$D$44,2,0)</f>
        <v>21484.492529750733</v>
      </c>
      <c r="AB65" s="16">
        <f t="shared" si="29"/>
        <v>576048.84480000008</v>
      </c>
      <c r="AC65" s="16">
        <f t="shared" si="30"/>
        <v>374218.55092383112</v>
      </c>
      <c r="AE65" s="16">
        <f t="shared" si="31"/>
        <v>5899640.0320000006</v>
      </c>
      <c r="AF65" s="16">
        <f t="shared" si="32"/>
        <v>3098266.5283776778</v>
      </c>
      <c r="AI65" s="61"/>
      <c r="AJ65" s="61"/>
      <c r="AK65" s="61"/>
    </row>
    <row r="66" spans="1:37" x14ac:dyDescent="0.25">
      <c r="A66" s="5">
        <f t="shared" si="33"/>
        <v>2046</v>
      </c>
      <c r="B66" s="10">
        <f t="shared" si="19"/>
        <v>14664</v>
      </c>
      <c r="C66" s="10">
        <f>B66*'Inputs &amp; Parameters'!$C$19/60</f>
        <v>53768</v>
      </c>
      <c r="D66" s="10">
        <f>B66*'Inputs &amp; Parameters'!$B$19</f>
        <v>2064691.2000000002</v>
      </c>
      <c r="E66" s="9"/>
      <c r="F66" s="16">
        <f>D66*'Truck Diversion (No Build)- Dry'!$B$17</f>
        <v>2725392.3840000005</v>
      </c>
      <c r="G66" s="16">
        <f>D66*'Truck Diversion (No Build)- Dry'!$B$17*VLOOKUP($A66,NPV!$B$3:$D$44,2,0)</f>
        <v>1309848.5122752285</v>
      </c>
      <c r="H66" s="16">
        <f>C66*'Truck Diversion (No Build)- Dry'!$B$9*$B$8</f>
        <v>1801228</v>
      </c>
      <c r="I66" s="16">
        <f>C66*'Truck Diversion (No Build)- Dry'!$B$9*$B$8*VLOOKUP($A66,NPV!$B$3:$D$44,2,0)</f>
        <v>865686.65485361707</v>
      </c>
      <c r="J66" s="16">
        <f>D66*'Truck Diversion (No Build)- Dry'!$B$18</f>
        <v>103234.56000000001</v>
      </c>
      <c r="K66" s="16">
        <f>D66*'Truck Diversion (No Build)- Dry'!$B$18*VLOOKUP($A66,NPV!$B$3:$D$44,2,0)</f>
        <v>49615.473949819258</v>
      </c>
      <c r="L66" s="16">
        <f t="shared" si="20"/>
        <v>4629854.9440000001</v>
      </c>
      <c r="M66" s="16">
        <f t="shared" si="21"/>
        <v>2225150.6410786649</v>
      </c>
      <c r="N66" s="8"/>
      <c r="O66" s="16">
        <f t="shared" si="22"/>
        <v>621472.05119999999</v>
      </c>
      <c r="P66" s="16">
        <f>D66*$B$16*VLOOKUP($A66,NPV!$B$3:$D$44,3,0)</f>
        <v>386382.52838446997</v>
      </c>
      <c r="Q66" s="16">
        <f t="shared" si="23"/>
        <v>72264.19200000001</v>
      </c>
      <c r="R66" s="16">
        <f>D66*$B$15*VLOOKUP($A66,NPV!$B$3:$D$44,2,0)</f>
        <v>34730.831764873481</v>
      </c>
      <c r="S66" s="16">
        <f t="shared" si="24"/>
        <v>693736.24320000003</v>
      </c>
      <c r="T66" s="16">
        <f t="shared" si="25"/>
        <v>421113.36014934344</v>
      </c>
      <c r="V66" s="16">
        <f t="shared" si="26"/>
        <v>487267.12320000003</v>
      </c>
      <c r="W66" s="16">
        <f>D66*$B$12*VLOOKUP($A66,NPV!$B$3:$D$44,2,0)</f>
        <v>234185.03704314688</v>
      </c>
      <c r="X66" s="16">
        <f t="shared" si="27"/>
        <v>45423.206400000003</v>
      </c>
      <c r="Y66" s="16">
        <f>D66*$B$13*VLOOKUP($A66,NPV!$B$3:$D$44,2,0)</f>
        <v>21830.808537920471</v>
      </c>
      <c r="Z66" s="16">
        <f t="shared" si="28"/>
        <v>43358.515200000009</v>
      </c>
      <c r="AA66" s="16">
        <f>D66*$B$14*VLOOKUP($A66,NPV!$B$3:$D$44,2,0)</f>
        <v>20838.499058924088</v>
      </c>
      <c r="AB66" s="16">
        <f t="shared" si="29"/>
        <v>576048.84480000008</v>
      </c>
      <c r="AC66" s="16">
        <f t="shared" si="30"/>
        <v>365636.06623999146</v>
      </c>
      <c r="AE66" s="16">
        <f t="shared" si="31"/>
        <v>5899640.0320000006</v>
      </c>
      <c r="AF66" s="16">
        <f t="shared" si="32"/>
        <v>3011900.0674679996</v>
      </c>
      <c r="AI66" s="61"/>
      <c r="AJ66" s="61"/>
      <c r="AK66" s="61"/>
    </row>
    <row r="67" spans="1:37" x14ac:dyDescent="0.25">
      <c r="A67" s="5">
        <f t="shared" si="33"/>
        <v>2047</v>
      </c>
      <c r="B67" s="10">
        <f t="shared" si="19"/>
        <v>14664</v>
      </c>
      <c r="C67" s="10">
        <f>B67*'Inputs &amp; Parameters'!$C$19/60</f>
        <v>53768</v>
      </c>
      <c r="D67" s="10">
        <f>B67*'Inputs &amp; Parameters'!$B$19</f>
        <v>2064691.2000000002</v>
      </c>
      <c r="E67" s="9"/>
      <c r="F67" s="16">
        <f>D67*'Truck Diversion (No Build)- Dry'!$B$17</f>
        <v>2725392.3840000005</v>
      </c>
      <c r="G67" s="16">
        <f>D67*'Truck Diversion (No Build)- Dry'!$B$17*VLOOKUP($A67,NPV!$B$3:$D$44,2,0)</f>
        <v>1270464.1244182622</v>
      </c>
      <c r="H67" s="16">
        <f>C67*'Truck Diversion (No Build)- Dry'!$B$9*$B$8</f>
        <v>1801228</v>
      </c>
      <c r="I67" s="16">
        <f>C67*'Truck Diversion (No Build)- Dry'!$B$9*$B$8*VLOOKUP($A67,NPV!$B$3:$D$44,2,0)</f>
        <v>839657.2791984647</v>
      </c>
      <c r="J67" s="16">
        <f>D67*'Truck Diversion (No Build)- Dry'!$B$18</f>
        <v>103234.56000000001</v>
      </c>
      <c r="K67" s="16">
        <f>D67*'Truck Diversion (No Build)- Dry'!$B$18*VLOOKUP($A67,NPV!$B$3:$D$44,2,0)</f>
        <v>48123.641076449327</v>
      </c>
      <c r="L67" s="16">
        <f t="shared" si="20"/>
        <v>4629854.9440000001</v>
      </c>
      <c r="M67" s="16">
        <f t="shared" si="21"/>
        <v>2158245.0446931762</v>
      </c>
      <c r="N67" s="8"/>
      <c r="O67" s="16">
        <f t="shared" si="22"/>
        <v>621472.05119999999</v>
      </c>
      <c r="P67" s="16">
        <f>D67*$B$16*VLOOKUP($A67,NPV!$B$3:$D$44,3,0)</f>
        <v>378806.40037693141</v>
      </c>
      <c r="Q67" s="16">
        <f t="shared" si="23"/>
        <v>72264.19200000001</v>
      </c>
      <c r="R67" s="16">
        <f>D67*$B$15*VLOOKUP($A67,NPV!$B$3:$D$44,2,0)</f>
        <v>33686.548753514529</v>
      </c>
      <c r="S67" s="16">
        <f t="shared" si="24"/>
        <v>693736.24320000003</v>
      </c>
      <c r="T67" s="16">
        <f t="shared" si="25"/>
        <v>412492.94913044595</v>
      </c>
      <c r="V67" s="16">
        <f t="shared" si="26"/>
        <v>487267.12320000003</v>
      </c>
      <c r="W67" s="16">
        <f>D67*$B$12*VLOOKUP($A67,NPV!$B$3:$D$44,2,0)</f>
        <v>227143.58588084081</v>
      </c>
      <c r="X67" s="16">
        <f t="shared" si="27"/>
        <v>45423.206400000003</v>
      </c>
      <c r="Y67" s="16">
        <f>D67*$B$13*VLOOKUP($A67,NPV!$B$3:$D$44,2,0)</f>
        <v>21174.402073637702</v>
      </c>
      <c r="Z67" s="16">
        <f t="shared" si="28"/>
        <v>43358.515200000009</v>
      </c>
      <c r="AA67" s="16">
        <f>D67*$B$14*VLOOKUP($A67,NPV!$B$3:$D$44,2,0)</f>
        <v>20211.929252108719</v>
      </c>
      <c r="AB67" s="16">
        <f t="shared" si="29"/>
        <v>576048.84480000008</v>
      </c>
      <c r="AC67" s="16">
        <f t="shared" si="30"/>
        <v>357311.63880658726</v>
      </c>
      <c r="AE67" s="16">
        <f t="shared" si="31"/>
        <v>5899640.0320000006</v>
      </c>
      <c r="AF67" s="16">
        <f t="shared" si="32"/>
        <v>2928049.6326302094</v>
      </c>
      <c r="AI67" s="61"/>
      <c r="AJ67" s="61"/>
      <c r="AK67" s="61"/>
    </row>
    <row r="68" spans="1:37" x14ac:dyDescent="0.25">
      <c r="A68" s="11" t="s">
        <v>44</v>
      </c>
      <c r="B68" s="37">
        <f>SUBTOTAL(9,B48:B67)</f>
        <v>293280</v>
      </c>
      <c r="C68" s="37">
        <f>SUBTOTAL(9,C48:C67)</f>
        <v>1075360</v>
      </c>
      <c r="D68" s="37">
        <f>SUBTOTAL(9,D48:D67)</f>
        <v>41293824</v>
      </c>
      <c r="E68" s="38"/>
      <c r="F68" s="39">
        <f>SUBTOTAL(9,F48:F67)</f>
        <v>54507847.680000022</v>
      </c>
      <c r="G68" s="39">
        <f t="shared" ref="G68" si="34">SUBTOTAL(9,G48:G67)</f>
        <v>34487228.567284279</v>
      </c>
      <c r="H68" s="39">
        <f t="shared" ref="H68" si="35">SUBTOTAL(9,H48:H67)</f>
        <v>36024560</v>
      </c>
      <c r="I68" s="39">
        <f t="shared" ref="I68" si="36">SUBTOTAL(9,I48:I67)</f>
        <v>22792814.019176587</v>
      </c>
      <c r="J68" s="39">
        <f t="shared" ref="J68" si="37">SUBTOTAL(9,J48:J67)</f>
        <v>2064691.2000000009</v>
      </c>
      <c r="K68" s="39">
        <f t="shared" ref="K68" si="38">SUBTOTAL(9,K48:K67)</f>
        <v>1306334.4154274345</v>
      </c>
      <c r="L68" s="39">
        <f t="shared" ref="L68" si="39">SUBTOTAL(9,L48:L67)</f>
        <v>92597098.88000001</v>
      </c>
      <c r="M68" s="39">
        <f t="shared" ref="M68" si="40">SUBTOTAL(9,M48:M67)</f>
        <v>58586377.001888297</v>
      </c>
      <c r="N68" s="40"/>
      <c r="O68" s="39">
        <f t="shared" ref="O68" si="41">SUBTOTAL(9,O48:O67)</f>
        <v>12429441.024000002</v>
      </c>
      <c r="P68" s="39">
        <f t="shared" ref="P68" si="42">SUBTOTAL(9,P48:P67)</f>
        <v>9203999.1921551842</v>
      </c>
      <c r="Q68" s="39">
        <f t="shared" ref="Q68" si="43">SUBTOTAL(9,Q48:Q67)</f>
        <v>1445283.8400000005</v>
      </c>
      <c r="R68" s="39">
        <f t="shared" ref="R68" si="44">SUBTOTAL(9,R48:R67)</f>
        <v>914434.09079920419</v>
      </c>
      <c r="S68" s="39">
        <f t="shared" ref="S68" si="45">SUBTOTAL(9,S48:S67)</f>
        <v>13874724.864000004</v>
      </c>
      <c r="T68" s="39">
        <f>SUBTOTAL(9,T48:T67)</f>
        <v>10118433.282954387</v>
      </c>
      <c r="U68" s="1"/>
      <c r="V68" s="39">
        <f t="shared" ref="V68:AB68" si="46">SUBTOTAL(9,V48:V67)</f>
        <v>9745342.4640000015</v>
      </c>
      <c r="W68" s="39">
        <f t="shared" si="46"/>
        <v>6165898.4408174912</v>
      </c>
      <c r="X68" s="39">
        <f t="shared" si="46"/>
        <v>908464.12800000038</v>
      </c>
      <c r="Y68" s="39">
        <f t="shared" si="46"/>
        <v>574787.14278807119</v>
      </c>
      <c r="Z68" s="39">
        <f t="shared" si="46"/>
        <v>867170.30400000035</v>
      </c>
      <c r="AA68" s="39">
        <f t="shared" si="46"/>
        <v>548660.45447952242</v>
      </c>
      <c r="AB68" s="39">
        <f t="shared" si="46"/>
        <v>11520976.895999998</v>
      </c>
      <c r="AC68" s="39">
        <f>SUBTOTAL(9,AC48:AC67)</f>
        <v>9064980.4700850863</v>
      </c>
      <c r="AD68" s="1"/>
      <c r="AE68" s="39">
        <f>SUBTOTAL(9,AE48:AE67)</f>
        <v>117992800.64000003</v>
      </c>
      <c r="AF68" s="39">
        <f>SUBTOTAL(9,AF48:AF67)</f>
        <v>77769790.754927784</v>
      </c>
    </row>
  </sheetData>
  <mergeCells count="6">
    <mergeCell ref="V21:AC21"/>
    <mergeCell ref="O21:T21"/>
    <mergeCell ref="O46:T46"/>
    <mergeCell ref="V46:AC46"/>
    <mergeCell ref="F21:M21"/>
    <mergeCell ref="F46:M4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A445E-3D8B-4552-ACF0-06D9A00BA248}">
  <sheetPr>
    <tabColor theme="9" tint="0.79998168889431442"/>
  </sheetPr>
  <dimension ref="A2:AC65"/>
  <sheetViews>
    <sheetView zoomScale="80" zoomScaleNormal="80" workbookViewId="0">
      <selection activeCell="H32" sqref="H32"/>
    </sheetView>
  </sheetViews>
  <sheetFormatPr defaultRowHeight="15" x14ac:dyDescent="0.25"/>
  <cols>
    <col min="1" max="1" width="47.7109375" customWidth="1"/>
    <col min="2" max="2" width="17" bestFit="1" customWidth="1"/>
    <col min="3" max="3" width="17" customWidth="1"/>
    <col min="4" max="4" width="12.28515625" customWidth="1"/>
    <col min="5" max="5" width="10.5703125" customWidth="1"/>
    <col min="7" max="29" width="15.7109375" customWidth="1"/>
  </cols>
  <sheetData>
    <row r="2" spans="1:21" x14ac:dyDescent="0.25">
      <c r="A2" s="14" t="s">
        <v>122</v>
      </c>
      <c r="B2" s="13"/>
      <c r="C2" s="1"/>
      <c r="J2" s="131"/>
    </row>
    <row r="3" spans="1:21" ht="30" x14ac:dyDescent="0.25">
      <c r="A3" s="87" t="s">
        <v>314</v>
      </c>
      <c r="B3" s="18">
        <v>2028</v>
      </c>
      <c r="C3" s="70"/>
      <c r="J3" s="132"/>
    </row>
    <row r="4" spans="1:21" x14ac:dyDescent="0.25">
      <c r="A4" s="87" t="s">
        <v>315</v>
      </c>
      <c r="B4" s="18">
        <f>'Inputs &amp; Parameters'!B18</f>
        <v>204</v>
      </c>
      <c r="C4" s="70"/>
      <c r="J4" s="132"/>
    </row>
    <row r="5" spans="1:21" x14ac:dyDescent="0.25">
      <c r="A5" s="5" t="s">
        <v>142</v>
      </c>
      <c r="B5" s="18">
        <v>1</v>
      </c>
      <c r="C5" s="70"/>
      <c r="J5" s="132"/>
    </row>
    <row r="6" spans="1:21" x14ac:dyDescent="0.25">
      <c r="A6" s="5" t="s">
        <v>182</v>
      </c>
      <c r="B6" s="18">
        <v>6</v>
      </c>
      <c r="C6" s="70"/>
      <c r="J6" s="132"/>
    </row>
    <row r="7" spans="1:21" x14ac:dyDescent="0.25">
      <c r="A7" s="5" t="s">
        <v>181</v>
      </c>
      <c r="B7" s="18">
        <v>100</v>
      </c>
      <c r="C7" s="70"/>
      <c r="J7" s="132"/>
    </row>
    <row r="8" spans="1:21" x14ac:dyDescent="0.25">
      <c r="A8" s="5" t="s">
        <v>143</v>
      </c>
      <c r="B8" s="18">
        <v>2</v>
      </c>
      <c r="C8" s="26" t="s">
        <v>200</v>
      </c>
      <c r="F8" s="44"/>
    </row>
    <row r="9" spans="1:21" x14ac:dyDescent="0.25">
      <c r="A9" s="33" t="s">
        <v>183</v>
      </c>
      <c r="B9" s="3">
        <v>53.5</v>
      </c>
      <c r="C9" s="26" t="s">
        <v>200</v>
      </c>
      <c r="F9" s="44"/>
    </row>
    <row r="10" spans="1:21" x14ac:dyDescent="0.25">
      <c r="A10" s="33" t="s">
        <v>196</v>
      </c>
      <c r="B10" s="89">
        <v>30</v>
      </c>
      <c r="C10" s="90"/>
      <c r="F10" s="44"/>
    </row>
    <row r="11" spans="1:21" x14ac:dyDescent="0.25">
      <c r="A11" s="33" t="s">
        <v>188</v>
      </c>
      <c r="B11" s="79">
        <f>25</f>
        <v>25</v>
      </c>
      <c r="C11" s="78"/>
      <c r="F11" s="44"/>
    </row>
    <row r="12" spans="1:21" x14ac:dyDescent="0.25">
      <c r="A12" s="77"/>
      <c r="B12" s="78"/>
      <c r="C12" s="78"/>
      <c r="F12" s="44"/>
    </row>
    <row r="13" spans="1:21" x14ac:dyDescent="0.25">
      <c r="A13" s="13" t="s">
        <v>225</v>
      </c>
      <c r="B13" s="13" t="s">
        <v>59</v>
      </c>
      <c r="C13" s="13" t="s">
        <v>60</v>
      </c>
      <c r="D13" s="13" t="s">
        <v>29</v>
      </c>
      <c r="E13" s="13" t="s">
        <v>30</v>
      </c>
      <c r="G13" s="44"/>
      <c r="H13" s="44"/>
      <c r="I13" s="44"/>
      <c r="J13" s="5"/>
      <c r="K13" s="5" t="s">
        <v>61</v>
      </c>
      <c r="L13" s="5"/>
      <c r="M13" s="5" t="s">
        <v>62</v>
      </c>
      <c r="N13" s="5"/>
      <c r="O13" s="5" t="s">
        <v>63</v>
      </c>
      <c r="P13" s="5"/>
      <c r="Q13" s="5" t="s">
        <v>44</v>
      </c>
      <c r="S13" s="5"/>
      <c r="T13" s="5"/>
    </row>
    <row r="14" spans="1:21" x14ac:dyDescent="0.25">
      <c r="A14" s="5" t="s">
        <v>64</v>
      </c>
      <c r="B14" s="18">
        <v>7</v>
      </c>
      <c r="C14" s="51">
        <f>(1-$C$16)*T15</f>
        <v>1.2663755458515285E-2</v>
      </c>
      <c r="D14" s="81">
        <f>'Inputs &amp; Parameters'!B35</f>
        <v>14022900</v>
      </c>
      <c r="E14" s="5" t="s">
        <v>189</v>
      </c>
      <c r="G14" s="44"/>
      <c r="H14" s="44"/>
      <c r="I14" s="44"/>
      <c r="J14" s="5" t="s">
        <v>65</v>
      </c>
      <c r="K14" s="18">
        <v>28</v>
      </c>
      <c r="L14" s="18"/>
      <c r="M14" s="18">
        <v>5</v>
      </c>
      <c r="N14" s="18"/>
      <c r="O14" s="18">
        <v>2</v>
      </c>
      <c r="P14" s="18"/>
      <c r="Q14" s="5">
        <f>SUM(K14:O14)</f>
        <v>35</v>
      </c>
      <c r="S14" s="5"/>
      <c r="T14" s="5" t="s">
        <v>66</v>
      </c>
    </row>
    <row r="15" spans="1:21" x14ac:dyDescent="0.25">
      <c r="A15" s="5" t="s">
        <v>67</v>
      </c>
      <c r="B15" s="18">
        <v>40</v>
      </c>
      <c r="C15" s="51">
        <f>(1-$C$16)*T16</f>
        <v>6.3755458515283858E-2</v>
      </c>
      <c r="D15" s="81">
        <f>'Inputs &amp; Parameters'!B34</f>
        <v>313000</v>
      </c>
      <c r="E15" s="5" t="s">
        <v>189</v>
      </c>
      <c r="J15" s="5" t="s">
        <v>68</v>
      </c>
      <c r="K15" s="18">
        <v>0</v>
      </c>
      <c r="L15" s="18"/>
      <c r="M15" s="18">
        <v>5</v>
      </c>
      <c r="N15" s="18"/>
      <c r="O15" s="18">
        <v>2</v>
      </c>
      <c r="P15" s="18"/>
      <c r="Q15" s="5">
        <f>SUM(K15:O15)</f>
        <v>7</v>
      </c>
      <c r="S15" s="51"/>
      <c r="T15" s="51">
        <f>SUM(M14,O14*O15/SUM(O15:O16))/Q14</f>
        <v>0.1657142857142857</v>
      </c>
      <c r="U15" s="136"/>
    </row>
    <row r="16" spans="1:21" x14ac:dyDescent="0.25">
      <c r="A16" s="5" t="s">
        <v>69</v>
      </c>
      <c r="B16" s="5">
        <f>B19-Q14</f>
        <v>423</v>
      </c>
      <c r="C16" s="51">
        <f>B16/B19</f>
        <v>0.92358078602620086</v>
      </c>
      <c r="D16" s="81">
        <f>'Inputs &amp; Parameters'!B33</f>
        <v>9100</v>
      </c>
      <c r="E16" s="5" t="s">
        <v>189</v>
      </c>
      <c r="J16" s="5" t="s">
        <v>70</v>
      </c>
      <c r="K16" s="18">
        <v>37</v>
      </c>
      <c r="L16" s="18"/>
      <c r="M16" s="18">
        <v>0</v>
      </c>
      <c r="N16" s="18"/>
      <c r="O16" s="18">
        <v>3</v>
      </c>
      <c r="P16" s="18"/>
      <c r="Q16" s="5">
        <f>SUM(K16:O16)</f>
        <v>40</v>
      </c>
      <c r="S16" s="51"/>
      <c r="T16" s="51">
        <f>SUM(K14,O14*O16/SUM(O15:O16))/Q14</f>
        <v>0.8342857142857143</v>
      </c>
      <c r="U16" s="136"/>
    </row>
    <row r="17" spans="1:11" x14ac:dyDescent="0.25">
      <c r="A17" s="5"/>
      <c r="B17" s="5" t="s">
        <v>71</v>
      </c>
      <c r="C17" s="82">
        <v>1</v>
      </c>
      <c r="D17" s="16">
        <f>SUMPRODUCT(C14:C16,D14:D16)</f>
        <v>205942.62008733628</v>
      </c>
      <c r="E17" s="5" t="s">
        <v>72</v>
      </c>
      <c r="K17" s="27" t="s">
        <v>73</v>
      </c>
    </row>
    <row r="18" spans="1:11" x14ac:dyDescent="0.25">
      <c r="C18" s="83"/>
      <c r="D18" s="8"/>
      <c r="K18" t="s">
        <v>74</v>
      </c>
    </row>
    <row r="19" spans="1:11" x14ac:dyDescent="0.25">
      <c r="A19" s="5" t="s">
        <v>75</v>
      </c>
      <c r="B19" s="5">
        <v>458</v>
      </c>
      <c r="C19" s="27" t="s">
        <v>73</v>
      </c>
    </row>
    <row r="20" spans="1:11" x14ac:dyDescent="0.25">
      <c r="A20" s="5" t="s">
        <v>222</v>
      </c>
      <c r="B20" s="25">
        <f>380885*1000</f>
        <v>380885000</v>
      </c>
      <c r="C20" s="27" t="s">
        <v>76</v>
      </c>
    </row>
    <row r="21" spans="1:11" x14ac:dyDescent="0.25">
      <c r="A21" s="5" t="s">
        <v>223</v>
      </c>
      <c r="B21" s="35">
        <f>B19/B20</f>
        <v>1.2024626855875133E-6</v>
      </c>
    </row>
    <row r="22" spans="1:11" x14ac:dyDescent="0.25">
      <c r="A22" s="5" t="s">
        <v>224</v>
      </c>
      <c r="B22" s="60">
        <f>B21*D17</f>
        <v>0.24763831602714734</v>
      </c>
      <c r="F22" s="61"/>
    </row>
    <row r="23" spans="1:11" x14ac:dyDescent="0.25">
      <c r="B23" s="70"/>
      <c r="C23" s="70"/>
      <c r="F23" s="44"/>
    </row>
    <row r="24" spans="1:11" x14ac:dyDescent="0.25">
      <c r="A24" s="14" t="s">
        <v>179</v>
      </c>
      <c r="B24" s="14" t="s">
        <v>219</v>
      </c>
      <c r="C24" t="s">
        <v>220</v>
      </c>
      <c r="F24" s="44"/>
    </row>
    <row r="25" spans="1:11" x14ac:dyDescent="0.25">
      <c r="A25" s="5" t="s">
        <v>311</v>
      </c>
      <c r="B25" s="18"/>
      <c r="C25" s="26" t="s">
        <v>221</v>
      </c>
      <c r="F25" s="44"/>
    </row>
    <row r="26" spans="1:11" x14ac:dyDescent="0.25">
      <c r="A26" s="72" t="s">
        <v>175</v>
      </c>
      <c r="B26" s="17">
        <v>273</v>
      </c>
      <c r="C26" s="76"/>
      <c r="F26" s="44"/>
    </row>
    <row r="27" spans="1:11" x14ac:dyDescent="0.25">
      <c r="A27" s="72" t="s">
        <v>176</v>
      </c>
      <c r="B27" s="17">
        <v>749</v>
      </c>
      <c r="C27" s="76"/>
      <c r="F27" s="44"/>
    </row>
    <row r="28" spans="1:11" x14ac:dyDescent="0.25">
      <c r="A28" s="72" t="s">
        <v>177</v>
      </c>
      <c r="B28" s="17">
        <v>28</v>
      </c>
      <c r="C28" s="76"/>
    </row>
    <row r="29" spans="1:11" x14ac:dyDescent="0.25">
      <c r="A29" s="5" t="s">
        <v>180</v>
      </c>
      <c r="B29" s="5"/>
    </row>
    <row r="30" spans="1:11" x14ac:dyDescent="0.25">
      <c r="A30" s="72" t="s">
        <v>175</v>
      </c>
      <c r="B30" s="17">
        <v>799</v>
      </c>
      <c r="C30" s="76"/>
    </row>
    <row r="31" spans="1:11" x14ac:dyDescent="0.25">
      <c r="A31" s="72" t="s">
        <v>176</v>
      </c>
      <c r="B31" s="17">
        <v>2202</v>
      </c>
      <c r="C31" s="76"/>
    </row>
    <row r="32" spans="1:11" x14ac:dyDescent="0.25">
      <c r="A32" s="72" t="s">
        <v>177</v>
      </c>
      <c r="B32" s="17">
        <v>280</v>
      </c>
      <c r="C32" s="76"/>
    </row>
    <row r="33" spans="1:29" x14ac:dyDescent="0.25">
      <c r="A33" s="67" t="s">
        <v>178</v>
      </c>
      <c r="B33" s="5"/>
    </row>
    <row r="34" spans="1:29" x14ac:dyDescent="0.25">
      <c r="A34" s="72" t="s">
        <v>175</v>
      </c>
      <c r="B34" s="73">
        <v>1.03</v>
      </c>
      <c r="C34" s="80"/>
    </row>
    <row r="35" spans="1:29" x14ac:dyDescent="0.25">
      <c r="A35" s="71"/>
    </row>
    <row r="36" spans="1:29" x14ac:dyDescent="0.25">
      <c r="A36" s="71"/>
    </row>
    <row r="37" spans="1:29" ht="20.25" thickBot="1" x14ac:dyDescent="0.35">
      <c r="A37" s="19" t="s">
        <v>339</v>
      </c>
    </row>
    <row r="38" spans="1:29" ht="15.75" thickTop="1" x14ac:dyDescent="0.25">
      <c r="G38" s="183" t="s">
        <v>145</v>
      </c>
      <c r="H38" s="184"/>
      <c r="I38" s="184"/>
      <c r="J38" s="185"/>
      <c r="L38" s="183" t="s">
        <v>191</v>
      </c>
      <c r="M38" s="184"/>
      <c r="N38" s="184"/>
      <c r="O38" s="184"/>
      <c r="P38" s="184"/>
      <c r="Q38" s="185"/>
      <c r="S38" s="183" t="s">
        <v>184</v>
      </c>
      <c r="T38" s="184"/>
      <c r="U38" s="184"/>
      <c r="V38" s="184"/>
      <c r="W38" s="184"/>
      <c r="X38" s="184"/>
      <c r="Y38" s="184"/>
      <c r="Z38" s="185"/>
    </row>
    <row r="39" spans="1:29" s="74" customFormat="1" ht="75" x14ac:dyDescent="0.25">
      <c r="A39" s="15" t="s">
        <v>80</v>
      </c>
      <c r="B39" s="15" t="s">
        <v>144</v>
      </c>
      <c r="C39" s="15" t="s">
        <v>198</v>
      </c>
      <c r="D39" s="15" t="s">
        <v>197</v>
      </c>
      <c r="E39" s="15" t="s">
        <v>383</v>
      </c>
      <c r="G39" s="15" t="s">
        <v>199</v>
      </c>
      <c r="H39" s="15" t="s">
        <v>326</v>
      </c>
      <c r="I39" s="15" t="s">
        <v>44</v>
      </c>
      <c r="J39" s="15" t="s">
        <v>141</v>
      </c>
      <c r="L39" s="15" t="s">
        <v>94</v>
      </c>
      <c r="M39" s="15" t="s">
        <v>320</v>
      </c>
      <c r="N39" s="15" t="s">
        <v>172</v>
      </c>
      <c r="O39" s="15" t="s">
        <v>321</v>
      </c>
      <c r="P39" s="15" t="s">
        <v>44</v>
      </c>
      <c r="Q39" s="15" t="s">
        <v>141</v>
      </c>
      <c r="S39" s="15" t="s">
        <v>126</v>
      </c>
      <c r="T39" s="15" t="s">
        <v>329</v>
      </c>
      <c r="U39" s="15" t="s">
        <v>127</v>
      </c>
      <c r="V39" s="15" t="s">
        <v>328</v>
      </c>
      <c r="W39" s="15" t="s">
        <v>140</v>
      </c>
      <c r="X39" s="15" t="s">
        <v>327</v>
      </c>
      <c r="Y39" s="15" t="s">
        <v>44</v>
      </c>
      <c r="Z39" s="15" t="s">
        <v>141</v>
      </c>
      <c r="AB39" s="15" t="s">
        <v>44</v>
      </c>
      <c r="AC39" s="15" t="s">
        <v>141</v>
      </c>
    </row>
    <row r="40" spans="1:29" x14ac:dyDescent="0.25">
      <c r="A40" s="5">
        <f>B3</f>
        <v>2028</v>
      </c>
      <c r="B40" s="10">
        <f t="shared" ref="B40:B59" si="0">IF($A40&lt;$B$4,0,$B$5*52)</f>
        <v>52</v>
      </c>
      <c r="C40" s="10">
        <f>IF(B40=0,0,($B$10/60)*('Rail Diversion (No Build) - Dry'!$B$5*52*2))</f>
        <v>52</v>
      </c>
      <c r="D40" s="10">
        <f>IF(B40=0,0,(('Inputs &amp; Parameters'!$B$18/$B$11)*($B$5*52)))</f>
        <v>424.32</v>
      </c>
      <c r="E40" s="10">
        <f>B40*'Inputs &amp; Parameters'!$B$18</f>
        <v>10608</v>
      </c>
      <c r="G40" s="16">
        <f>IF(B40=0,0,SUM($B$30*D40,$B$34*$B$5*$B$6*52))</f>
        <v>339353.04</v>
      </c>
      <c r="H40" s="16">
        <f>IF(B40=0,0,SUM($B$30*D40,$B$34*$B$5*$B$6*52)*VLOOKUP($A40,NPV!$B$3:$D$44,2,0))</f>
        <v>282552.88912454312</v>
      </c>
      <c r="I40" s="16">
        <f>SUM(G40:G40)</f>
        <v>339353.04</v>
      </c>
      <c r="J40" s="16">
        <f>SUM(H40:H40)</f>
        <v>282552.88912454312</v>
      </c>
      <c r="L40" s="16">
        <f>D40*$B$32+C40*$B$28</f>
        <v>120265.59999999999</v>
      </c>
      <c r="M40" s="16">
        <f>(D40*$B$32+C40*$B$28)*VLOOKUP($A40,NPV!$B$3:$D$44,3,0)</f>
        <v>106792.41106145168</v>
      </c>
      <c r="N40" s="16">
        <f>(D40*$B$31+C40*$B$27)</f>
        <v>973300.64</v>
      </c>
      <c r="O40" s="16">
        <f>(D40*$B$31+C40*$B$27)*VLOOKUP($A40,NPV!$B$3:$D$44,2,0)</f>
        <v>810391.7613903411</v>
      </c>
      <c r="P40" s="16">
        <f>SUM(L40,N40)</f>
        <v>1093566.24</v>
      </c>
      <c r="Q40" s="16">
        <f>SUM(M40,O40)</f>
        <v>917184.17245179275</v>
      </c>
      <c r="S40" s="16">
        <f>E40*$B$21*$C$16*$D$16</f>
        <v>107.20656996206205</v>
      </c>
      <c r="T40" s="16">
        <f>E40*$B$21*$C$16*$D$16*VLOOKUP($A40,NPV!$B$3:$D$44,2,0)</f>
        <v>89.262574680082707</v>
      </c>
      <c r="U40" s="16">
        <f>E40*$B$21*$C$15*$D$15</f>
        <v>254.54632448114265</v>
      </c>
      <c r="V40" s="16">
        <f>E40*$B$21*$C$15*$D$15*VLOOKUP($A40,NPV!$B$3:$D$44,2,0)</f>
        <v>211.94093148003117</v>
      </c>
      <c r="W40" s="16">
        <f>E40*$B$21*$C$14*$D$14</f>
        <v>2265.194361972774</v>
      </c>
      <c r="X40" s="16">
        <f>E40*$B$21*$C$14*$D$14*VLOOKUP($A40,NPV!$B$3:$D$44,2,0)</f>
        <v>1886.0512091008038</v>
      </c>
      <c r="Y40" s="16">
        <f>SUM(S40,U40,W40)</f>
        <v>2626.9472564159787</v>
      </c>
      <c r="Z40" s="16">
        <f>SUM(T40,V40,X40)</f>
        <v>2187.2547152609177</v>
      </c>
      <c r="AB40" s="16">
        <f>SUM(I40,P40,Y40)</f>
        <v>1435546.2272564161</v>
      </c>
      <c r="AC40" s="16">
        <f>SUM(J40,Q40,Z40)</f>
        <v>1201924.3162915967</v>
      </c>
    </row>
    <row r="41" spans="1:29" x14ac:dyDescent="0.25">
      <c r="A41" s="5">
        <f>A40+1</f>
        <v>2029</v>
      </c>
      <c r="B41" s="10">
        <f t="shared" si="0"/>
        <v>52</v>
      </c>
      <c r="C41" s="10">
        <f>IF(B41=0,0,($B$10/60)*('Rail Diversion (No Build) - Dry'!$B$5*52*2))</f>
        <v>52</v>
      </c>
      <c r="D41" s="10">
        <f>IF(B41=0,0,(('Inputs &amp; Parameters'!$B$18/$B$11)*($B$5*52)))</f>
        <v>424.32</v>
      </c>
      <c r="E41" s="10">
        <f>B41*'Inputs &amp; Parameters'!$B$18</f>
        <v>10608</v>
      </c>
      <c r="G41" s="16">
        <f t="shared" ref="G41:G59" si="1">IF(B41=0,0,SUM($B$30*D41,$B$34*$B$5*$B$6*52))</f>
        <v>339353.04</v>
      </c>
      <c r="H41" s="16">
        <f>IF(B41=0,0,SUM($B$30*D41,$B$34*$B$5*$B$6*52)*VLOOKUP($A41,NPV!$B$3:$D$44,2,0))</f>
        <v>274057.11845251522</v>
      </c>
      <c r="I41" s="16">
        <f t="shared" ref="I41:I59" si="2">SUM(G41:G41)</f>
        <v>339353.04</v>
      </c>
      <c r="J41" s="16">
        <f t="shared" ref="J41:J59" si="3">SUM(H41:H41)</f>
        <v>274057.11845251522</v>
      </c>
      <c r="L41" s="16">
        <f t="shared" ref="L41:L59" si="4">D41*$B$32+C41*$B$28</f>
        <v>120265.59999999999</v>
      </c>
      <c r="M41" s="16">
        <f>(D41*$B$32+C41*$B$28)*VLOOKUP($A41,NPV!$B$3:$D$44,3,0)</f>
        <v>104698.44221710951</v>
      </c>
      <c r="N41" s="16">
        <f t="shared" ref="N41:N59" si="5">(D41*$B$31+C41*$B$27)</f>
        <v>973300.64</v>
      </c>
      <c r="O41" s="16">
        <f>(D41*$B$31+C41*$B$27)*VLOOKUP($A41,NPV!$B$3:$D$44,2,0)</f>
        <v>786024.98679955502</v>
      </c>
      <c r="P41" s="16">
        <f t="shared" ref="P41:P59" si="6">SUM(L41,N41)</f>
        <v>1093566.24</v>
      </c>
      <c r="Q41" s="16">
        <f t="shared" ref="Q41:Q59" si="7">SUM(M41,O41)</f>
        <v>890723.42901666451</v>
      </c>
      <c r="S41" s="16">
        <f t="shared" ref="S41:S59" si="8">E41*$B$21*$C$16*$D$16</f>
        <v>107.20656996206205</v>
      </c>
      <c r="T41" s="16">
        <f>E41*$B$21*$C$16*$D$16*VLOOKUP($A41,NPV!$B$3:$D$44,2,0)</f>
        <v>86.578636935094778</v>
      </c>
      <c r="U41" s="16">
        <f t="shared" ref="U41:U59" si="9">E41*$B$21*$C$15*$D$15</f>
        <v>254.54632448114265</v>
      </c>
      <c r="V41" s="16">
        <f>E41*$B$21*$C$15*$D$15*VLOOKUP($A41,NPV!$B$3:$D$44,2,0)</f>
        <v>205.56831375366752</v>
      </c>
      <c r="W41" s="16">
        <f t="shared" ref="W41:W59" si="10">E41*$B$21*$C$14*$D$14</f>
        <v>2265.194361972774</v>
      </c>
      <c r="X41" s="16">
        <f>E41*$B$21*$C$14*$D$14*VLOOKUP($A41,NPV!$B$3:$D$44,2,0)</f>
        <v>1829.3416189144559</v>
      </c>
      <c r="Y41" s="16">
        <f t="shared" ref="Y41:Y59" si="11">SUM(S41,U41,W41)</f>
        <v>2626.9472564159787</v>
      </c>
      <c r="Z41" s="16">
        <f t="shared" ref="Z41:Z59" si="12">SUM(T41,V41,X41)</f>
        <v>2121.4885696032184</v>
      </c>
      <c r="AB41" s="16">
        <f t="shared" ref="AB41:AB59" si="13">SUM(I41,P41,Y41)</f>
        <v>1435546.2272564161</v>
      </c>
      <c r="AC41" s="16">
        <f t="shared" ref="AC41:AC59" si="14">SUM(J41,Q41,Z41)</f>
        <v>1166902.0360387829</v>
      </c>
    </row>
    <row r="42" spans="1:29" x14ac:dyDescent="0.25">
      <c r="A42" s="5">
        <f t="shared" ref="A42:A59" si="15">A41+1</f>
        <v>2030</v>
      </c>
      <c r="B42" s="10">
        <f t="shared" si="0"/>
        <v>52</v>
      </c>
      <c r="C42" s="10">
        <f>IF(B42=0,0,($B$10/60)*('Rail Diversion (No Build) - Dry'!$B$5*52*2))</f>
        <v>52</v>
      </c>
      <c r="D42" s="10">
        <f>IF(B42=0,0,(('Inputs &amp; Parameters'!$B$18/$B$11)*($B$5*52)))</f>
        <v>424.32</v>
      </c>
      <c r="E42" s="10">
        <f>B42*'Inputs &amp; Parameters'!$B$18</f>
        <v>10608</v>
      </c>
      <c r="G42" s="16">
        <f t="shared" si="1"/>
        <v>339353.04</v>
      </c>
      <c r="H42" s="16">
        <f>IF(B42=0,0,SUM($B$30*D42,$B$34*$B$5*$B$6*52)*VLOOKUP($A42,NPV!$B$3:$D$44,2,0))</f>
        <v>265816.79772309912</v>
      </c>
      <c r="I42" s="16">
        <f t="shared" si="2"/>
        <v>339353.04</v>
      </c>
      <c r="J42" s="16">
        <f t="shared" si="3"/>
        <v>265816.79772309912</v>
      </c>
      <c r="L42" s="16">
        <f t="shared" si="4"/>
        <v>120265.59999999999</v>
      </c>
      <c r="M42" s="16">
        <f>(D42*$B$32+C42*$B$28)*VLOOKUP($A42,NPV!$B$3:$D$44,3,0)</f>
        <v>102645.53158540148</v>
      </c>
      <c r="N42" s="16">
        <f t="shared" si="5"/>
        <v>973300.64</v>
      </c>
      <c r="O42" s="16">
        <f>(D42*$B$31+C42*$B$27)*VLOOKUP($A42,NPV!$B$3:$D$44,2,0)</f>
        <v>762390.86983467999</v>
      </c>
      <c r="P42" s="16">
        <f t="shared" si="6"/>
        <v>1093566.24</v>
      </c>
      <c r="Q42" s="16">
        <f t="shared" si="7"/>
        <v>865036.4014200815</v>
      </c>
      <c r="S42" s="16">
        <f t="shared" si="8"/>
        <v>107.20656996206205</v>
      </c>
      <c r="T42" s="16">
        <f>E42*$B$21*$C$16*$D$16*VLOOKUP($A42,NPV!$B$3:$D$44,2,0)</f>
        <v>83.975399549073501</v>
      </c>
      <c r="U42" s="16">
        <f t="shared" si="9"/>
        <v>254.54632448114265</v>
      </c>
      <c r="V42" s="16">
        <f>E42*$B$21*$C$15*$D$15*VLOOKUP($A42,NPV!$B$3:$D$44,2,0)</f>
        <v>199.38730722955142</v>
      </c>
      <c r="W42" s="16">
        <f t="shared" si="10"/>
        <v>2265.194361972774</v>
      </c>
      <c r="X42" s="16">
        <f>E42*$B$21*$C$14*$D$14*VLOOKUP($A42,NPV!$B$3:$D$44,2,0)</f>
        <v>1774.3371667453503</v>
      </c>
      <c r="Y42" s="16">
        <f t="shared" si="11"/>
        <v>2626.9472564159787</v>
      </c>
      <c r="Z42" s="16">
        <f t="shared" si="12"/>
        <v>2057.6998735239749</v>
      </c>
      <c r="AB42" s="16">
        <f t="shared" si="13"/>
        <v>1435546.2272564161</v>
      </c>
      <c r="AC42" s="16">
        <f t="shared" si="14"/>
        <v>1132910.8990167046</v>
      </c>
    </row>
    <row r="43" spans="1:29" x14ac:dyDescent="0.25">
      <c r="A43" s="5">
        <f t="shared" si="15"/>
        <v>2031</v>
      </c>
      <c r="B43" s="10">
        <f t="shared" si="0"/>
        <v>52</v>
      </c>
      <c r="C43" s="10">
        <f>IF(B43=0,0,($B$10/60)*('Rail Diversion (No Build) - Dry'!$B$5*52*2))</f>
        <v>52</v>
      </c>
      <c r="D43" s="10">
        <f>IF(B43=0,0,(('Inputs &amp; Parameters'!$B$18/$B$11)*($B$5*52)))</f>
        <v>424.32</v>
      </c>
      <c r="E43" s="10">
        <f>B43*'Inputs &amp; Parameters'!$B$18</f>
        <v>10608</v>
      </c>
      <c r="G43" s="16">
        <f t="shared" si="1"/>
        <v>339353.04</v>
      </c>
      <c r="H43" s="16">
        <f>IF(B43=0,0,SUM($B$30*D43,$B$34*$B$5*$B$6*52)*VLOOKUP($A43,NPV!$B$3:$D$44,2,0))</f>
        <v>257824.2460941796</v>
      </c>
      <c r="I43" s="16">
        <f t="shared" si="2"/>
        <v>339353.04</v>
      </c>
      <c r="J43" s="16">
        <f t="shared" si="3"/>
        <v>257824.2460941796</v>
      </c>
      <c r="L43" s="16">
        <f t="shared" si="4"/>
        <v>120265.59999999999</v>
      </c>
      <c r="M43" s="16">
        <f>(D43*$B$32+C43*$B$28)*VLOOKUP($A43,NPV!$B$3:$D$44,3,0)</f>
        <v>100632.87410333479</v>
      </c>
      <c r="N43" s="16">
        <f t="shared" si="5"/>
        <v>973300.64</v>
      </c>
      <c r="O43" s="16">
        <f>(D43*$B$31+C43*$B$27)*VLOOKUP($A43,NPV!$B$3:$D$44,2,0)</f>
        <v>739467.38102296798</v>
      </c>
      <c r="P43" s="16">
        <f t="shared" si="6"/>
        <v>1093566.24</v>
      </c>
      <c r="Q43" s="16">
        <f t="shared" si="7"/>
        <v>840100.25512630283</v>
      </c>
      <c r="S43" s="16">
        <f t="shared" si="8"/>
        <v>107.20656996206205</v>
      </c>
      <c r="T43" s="16">
        <f>E43*$B$21*$C$16*$D$16*VLOOKUP($A43,NPV!$B$3:$D$44,2,0)</f>
        <v>81.450436032079068</v>
      </c>
      <c r="U43" s="16">
        <f t="shared" si="9"/>
        <v>254.54632448114265</v>
      </c>
      <c r="V43" s="16">
        <f>E43*$B$21*$C$15*$D$15*VLOOKUP($A43,NPV!$B$3:$D$44,2,0)</f>
        <v>193.39215056212555</v>
      </c>
      <c r="W43" s="16">
        <f t="shared" si="10"/>
        <v>2265.194361972774</v>
      </c>
      <c r="X43" s="16">
        <f>E43*$B$21*$C$14*$D$14*VLOOKUP($A43,NPV!$B$3:$D$44,2,0)</f>
        <v>1720.9865826822022</v>
      </c>
      <c r="Y43" s="16">
        <f t="shared" si="11"/>
        <v>2626.9472564159787</v>
      </c>
      <c r="Z43" s="16">
        <f t="shared" si="12"/>
        <v>1995.8291692764069</v>
      </c>
      <c r="AB43" s="16">
        <f t="shared" si="13"/>
        <v>1435546.2272564161</v>
      </c>
      <c r="AC43" s="16">
        <f t="shared" si="14"/>
        <v>1099920.3303897588</v>
      </c>
    </row>
    <row r="44" spans="1:29" x14ac:dyDescent="0.25">
      <c r="A44" s="5">
        <f t="shared" si="15"/>
        <v>2032</v>
      </c>
      <c r="B44" s="10">
        <f t="shared" si="0"/>
        <v>52</v>
      </c>
      <c r="C44" s="10">
        <f>IF(B44=0,0,($B$10/60)*('Rail Diversion (No Build) - Dry'!$B$5*52*2))</f>
        <v>52</v>
      </c>
      <c r="D44" s="10">
        <f>IF(B44=0,0,(('Inputs &amp; Parameters'!$B$18/$B$11)*($B$5*52)))</f>
        <v>424.32</v>
      </c>
      <c r="E44" s="10">
        <f>B44*'Inputs &amp; Parameters'!$B$18</f>
        <v>10608</v>
      </c>
      <c r="G44" s="16">
        <f t="shared" si="1"/>
        <v>339353.04</v>
      </c>
      <c r="H44" s="16">
        <f>IF(B44=0,0,SUM($B$30*D44,$B$34*$B$5*$B$6*52)*VLOOKUP($A44,NPV!$B$3:$D$44,2,0))</f>
        <v>250072.01367039728</v>
      </c>
      <c r="I44" s="16">
        <f t="shared" si="2"/>
        <v>339353.04</v>
      </c>
      <c r="J44" s="16">
        <f t="shared" si="3"/>
        <v>250072.01367039728</v>
      </c>
      <c r="L44" s="16">
        <f t="shared" si="4"/>
        <v>120265.59999999999</v>
      </c>
      <c r="M44" s="16">
        <f>(D44*$B$32+C44*$B$28)*VLOOKUP($A44,NPV!$B$3:$D$44,3,0)</f>
        <v>98659.680493465479</v>
      </c>
      <c r="N44" s="16">
        <f t="shared" si="5"/>
        <v>973300.64</v>
      </c>
      <c r="O44" s="16">
        <f>(D44*$B$31+C44*$B$27)*VLOOKUP($A44,NPV!$B$3:$D$44,2,0)</f>
        <v>717233.15327155008</v>
      </c>
      <c r="P44" s="16">
        <f t="shared" si="6"/>
        <v>1093566.24</v>
      </c>
      <c r="Q44" s="16">
        <f t="shared" si="7"/>
        <v>815892.83376501559</v>
      </c>
      <c r="S44" s="16">
        <f t="shared" si="8"/>
        <v>107.20656996206205</v>
      </c>
      <c r="T44" s="16">
        <f>E44*$B$21*$C$16*$D$16*VLOOKUP($A44,NPV!$B$3:$D$44,2,0)</f>
        <v>79.001392853616949</v>
      </c>
      <c r="U44" s="16">
        <f t="shared" si="9"/>
        <v>254.54632448114265</v>
      </c>
      <c r="V44" s="16">
        <f>E44*$B$21*$C$15*$D$15*VLOOKUP($A44,NPV!$B$3:$D$44,2,0)</f>
        <v>187.57725563736719</v>
      </c>
      <c r="W44" s="16">
        <f t="shared" si="10"/>
        <v>2265.194361972774</v>
      </c>
      <c r="X44" s="16">
        <f>E44*$B$21*$C$14*$D$14*VLOOKUP($A44,NPV!$B$3:$D$44,2,0)</f>
        <v>1669.2401383920487</v>
      </c>
      <c r="Y44" s="16">
        <f t="shared" si="11"/>
        <v>2626.9472564159787</v>
      </c>
      <c r="Z44" s="16">
        <f t="shared" si="12"/>
        <v>1935.8187868830328</v>
      </c>
      <c r="AB44" s="16">
        <f t="shared" si="13"/>
        <v>1435546.2272564161</v>
      </c>
      <c r="AC44" s="16">
        <f t="shared" si="14"/>
        <v>1067900.666222296</v>
      </c>
    </row>
    <row r="45" spans="1:29" x14ac:dyDescent="0.25">
      <c r="A45" s="5">
        <f t="shared" si="15"/>
        <v>2033</v>
      </c>
      <c r="B45" s="10">
        <f t="shared" si="0"/>
        <v>52</v>
      </c>
      <c r="C45" s="10">
        <f>IF(B45=0,0,($B$10/60)*('Rail Diversion (No Build) - Dry'!$B$5*52*2))</f>
        <v>52</v>
      </c>
      <c r="D45" s="10">
        <f>IF(B45=0,0,(('Inputs &amp; Parameters'!$B$18/$B$11)*($B$5*52)))</f>
        <v>424.32</v>
      </c>
      <c r="E45" s="10">
        <f>B45*'Inputs &amp; Parameters'!$B$18</f>
        <v>10608</v>
      </c>
      <c r="G45" s="16">
        <f t="shared" si="1"/>
        <v>339353.04</v>
      </c>
      <c r="H45" s="16">
        <f>IF(B45=0,0,SUM($B$30*D45,$B$34*$B$5*$B$6*52)*VLOOKUP($A45,NPV!$B$3:$D$44,2,0))</f>
        <v>242552.87455906626</v>
      </c>
      <c r="I45" s="16">
        <f t="shared" si="2"/>
        <v>339353.04</v>
      </c>
      <c r="J45" s="16">
        <f t="shared" si="3"/>
        <v>242552.87455906626</v>
      </c>
      <c r="L45" s="16">
        <f t="shared" si="4"/>
        <v>120265.59999999999</v>
      </c>
      <c r="M45" s="16">
        <f>(D45*$B$32+C45*$B$28)*VLOOKUP($A45,NPV!$B$3:$D$44,3,0)</f>
        <v>96725.176954377937</v>
      </c>
      <c r="N45" s="16">
        <f t="shared" si="5"/>
        <v>973300.64</v>
      </c>
      <c r="O45" s="16">
        <f>(D45*$B$31+C45*$B$27)*VLOOKUP($A45,NPV!$B$3:$D$44,2,0)</f>
        <v>695667.46195106697</v>
      </c>
      <c r="P45" s="16">
        <f t="shared" si="6"/>
        <v>1093566.24</v>
      </c>
      <c r="Q45" s="16">
        <f t="shared" si="7"/>
        <v>792392.63890544488</v>
      </c>
      <c r="S45" s="16">
        <f t="shared" si="8"/>
        <v>107.20656996206205</v>
      </c>
      <c r="T45" s="16">
        <f>E45*$B$21*$C$16*$D$16*VLOOKUP($A45,NPV!$B$3:$D$44,2,0)</f>
        <v>76.625987248901026</v>
      </c>
      <c r="U45" s="16">
        <f t="shared" si="9"/>
        <v>254.54632448114265</v>
      </c>
      <c r="V45" s="16">
        <f>E45*$B$21*$C$15*$D$15*VLOOKUP($A45,NPV!$B$3:$D$44,2,0)</f>
        <v>181.93720236408069</v>
      </c>
      <c r="W45" s="16">
        <f t="shared" si="10"/>
        <v>2265.194361972774</v>
      </c>
      <c r="X45" s="16">
        <f>E45*$B$21*$C$14*$D$14*VLOOKUP($A45,NPV!$B$3:$D$44,2,0)</f>
        <v>1619.0496007682336</v>
      </c>
      <c r="Y45" s="16">
        <f t="shared" si="11"/>
        <v>2626.9472564159787</v>
      </c>
      <c r="Z45" s="16">
        <f t="shared" si="12"/>
        <v>1877.6127903812153</v>
      </c>
      <c r="AB45" s="16">
        <f t="shared" si="13"/>
        <v>1435546.2272564161</v>
      </c>
      <c r="AC45" s="16">
        <f t="shared" si="14"/>
        <v>1036823.1262548923</v>
      </c>
    </row>
    <row r="46" spans="1:29" x14ac:dyDescent="0.25">
      <c r="A46" s="5">
        <f t="shared" si="15"/>
        <v>2034</v>
      </c>
      <c r="B46" s="10">
        <f t="shared" si="0"/>
        <v>52</v>
      </c>
      <c r="C46" s="10">
        <f>IF(B46=0,0,($B$10/60)*('Rail Diversion (No Build) - Dry'!$B$5*52*2))</f>
        <v>52</v>
      </c>
      <c r="D46" s="10">
        <f>IF(B46=0,0,(('Inputs &amp; Parameters'!$B$18/$B$11)*($B$5*52)))</f>
        <v>424.32</v>
      </c>
      <c r="E46" s="10">
        <f>B46*'Inputs &amp; Parameters'!$B$18</f>
        <v>10608</v>
      </c>
      <c r="G46" s="16">
        <f t="shared" si="1"/>
        <v>339353.04</v>
      </c>
      <c r="H46" s="16">
        <f>IF(B46=0,0,SUM($B$30*D46,$B$34*$B$5*$B$6*52)*VLOOKUP($A46,NPV!$B$3:$D$44,2,0))</f>
        <v>235259.82013488482</v>
      </c>
      <c r="I46" s="16">
        <f t="shared" si="2"/>
        <v>339353.04</v>
      </c>
      <c r="J46" s="16">
        <f t="shared" si="3"/>
        <v>235259.82013488482</v>
      </c>
      <c r="L46" s="16">
        <f t="shared" si="4"/>
        <v>120265.59999999999</v>
      </c>
      <c r="M46" s="16">
        <f>(D46*$B$32+C46*$B$28)*VLOOKUP($A46,NPV!$B$3:$D$44,3,0)</f>
        <v>94828.604857233251</v>
      </c>
      <c r="N46" s="16">
        <f t="shared" si="5"/>
        <v>973300.64</v>
      </c>
      <c r="O46" s="16">
        <f>(D46*$B$31+C46*$B$27)*VLOOKUP($A46,NPV!$B$3:$D$44,2,0)</f>
        <v>674750.20557814452</v>
      </c>
      <c r="P46" s="16">
        <f t="shared" si="6"/>
        <v>1093566.24</v>
      </c>
      <c r="Q46" s="16">
        <f t="shared" si="7"/>
        <v>769578.81043537776</v>
      </c>
      <c r="S46" s="16">
        <f t="shared" si="8"/>
        <v>107.20656996206205</v>
      </c>
      <c r="T46" s="16">
        <f>E46*$B$21*$C$16*$D$16*VLOOKUP($A46,NPV!$B$3:$D$44,2,0)</f>
        <v>74.322005091077614</v>
      </c>
      <c r="U46" s="16">
        <f t="shared" si="9"/>
        <v>254.54632448114265</v>
      </c>
      <c r="V46" s="16">
        <f>E46*$B$21*$C$15*$D$15*VLOOKUP($A46,NPV!$B$3:$D$44,2,0)</f>
        <v>176.46673362180474</v>
      </c>
      <c r="W46" s="16">
        <f t="shared" si="10"/>
        <v>2265.194361972774</v>
      </c>
      <c r="X46" s="16">
        <f>E46*$B$21*$C$14*$D$14*VLOOKUP($A46,NPV!$B$3:$D$44,2,0)</f>
        <v>1570.3681869720986</v>
      </c>
      <c r="Y46" s="16">
        <f t="shared" si="11"/>
        <v>2626.9472564159787</v>
      </c>
      <c r="Z46" s="16">
        <f t="shared" si="12"/>
        <v>1821.1569256849809</v>
      </c>
      <c r="AB46" s="16">
        <f t="shared" si="13"/>
        <v>1435546.2272564161</v>
      </c>
      <c r="AC46" s="16">
        <f t="shared" si="14"/>
        <v>1006659.7874959476</v>
      </c>
    </row>
    <row r="47" spans="1:29" x14ac:dyDescent="0.25">
      <c r="A47" s="5">
        <f t="shared" si="15"/>
        <v>2035</v>
      </c>
      <c r="B47" s="10">
        <f t="shared" si="0"/>
        <v>52</v>
      </c>
      <c r="C47" s="10">
        <f>IF(B47=0,0,($B$10/60)*('Rail Diversion (No Build) - Dry'!$B$5*52*2))</f>
        <v>52</v>
      </c>
      <c r="D47" s="10">
        <f>IF(B47=0,0,(('Inputs &amp; Parameters'!$B$18/$B$11)*($B$5*52)))</f>
        <v>424.32</v>
      </c>
      <c r="E47" s="10">
        <f>B47*'Inputs &amp; Parameters'!$B$18</f>
        <v>10608</v>
      </c>
      <c r="G47" s="16">
        <f t="shared" si="1"/>
        <v>339353.04</v>
      </c>
      <c r="H47" s="16">
        <f>IF(B47=0,0,SUM($B$30*D47,$B$34*$B$5*$B$6*52)*VLOOKUP($A47,NPV!$B$3:$D$44,2,0))</f>
        <v>228186.05250716279</v>
      </c>
      <c r="I47" s="16">
        <f t="shared" si="2"/>
        <v>339353.04</v>
      </c>
      <c r="J47" s="16">
        <f t="shared" si="3"/>
        <v>228186.05250716279</v>
      </c>
      <c r="L47" s="16">
        <f t="shared" si="4"/>
        <v>120265.59999999999</v>
      </c>
      <c r="M47" s="16">
        <f>(D47*$B$32+C47*$B$28)*VLOOKUP($A47,NPV!$B$3:$D$44,3,0)</f>
        <v>92969.220448267908</v>
      </c>
      <c r="N47" s="16">
        <f t="shared" si="5"/>
        <v>973300.64</v>
      </c>
      <c r="O47" s="16">
        <f>(D47*$B$31+C47*$B$27)*VLOOKUP($A47,NPV!$B$3:$D$44,2,0)</f>
        <v>654461.88707870466</v>
      </c>
      <c r="P47" s="16">
        <f t="shared" si="6"/>
        <v>1093566.24</v>
      </c>
      <c r="Q47" s="16">
        <f t="shared" si="7"/>
        <v>747431.10752697254</v>
      </c>
      <c r="S47" s="16">
        <f t="shared" si="8"/>
        <v>107.20656996206205</v>
      </c>
      <c r="T47" s="16">
        <f>E47*$B$21*$C$16*$D$16*VLOOKUP($A47,NPV!$B$3:$D$44,2,0)</f>
        <v>72.087298827427361</v>
      </c>
      <c r="U47" s="16">
        <f t="shared" si="9"/>
        <v>254.54632448114265</v>
      </c>
      <c r="V47" s="16">
        <f>E47*$B$21*$C$15*$D$15*VLOOKUP($A47,NPV!$B$3:$D$44,2,0)</f>
        <v>171.16075036062537</v>
      </c>
      <c r="W47" s="16">
        <f t="shared" si="10"/>
        <v>2265.194361972774</v>
      </c>
      <c r="X47" s="16">
        <f>E47*$B$21*$C$14*$D$14*VLOOKUP($A47,NPV!$B$3:$D$44,2,0)</f>
        <v>1523.1505208264778</v>
      </c>
      <c r="Y47" s="16">
        <f t="shared" si="11"/>
        <v>2626.9472564159787</v>
      </c>
      <c r="Z47" s="16">
        <f t="shared" si="12"/>
        <v>1766.3985700145304</v>
      </c>
      <c r="AB47" s="16">
        <f t="shared" si="13"/>
        <v>1435546.2272564161</v>
      </c>
      <c r="AC47" s="16">
        <f t="shared" si="14"/>
        <v>977383.55860414985</v>
      </c>
    </row>
    <row r="48" spans="1:29" x14ac:dyDescent="0.25">
      <c r="A48" s="5">
        <f t="shared" si="15"/>
        <v>2036</v>
      </c>
      <c r="B48" s="10">
        <f t="shared" si="0"/>
        <v>52</v>
      </c>
      <c r="C48" s="10">
        <f>IF(B48=0,0,($B$10/60)*('Rail Diversion (No Build) - Dry'!$B$5*52*2))</f>
        <v>52</v>
      </c>
      <c r="D48" s="10">
        <f>IF(B48=0,0,(('Inputs &amp; Parameters'!$B$18/$B$11)*($B$5*52)))</f>
        <v>424.32</v>
      </c>
      <c r="E48" s="10">
        <f>B48*'Inputs &amp; Parameters'!$B$18</f>
        <v>10608</v>
      </c>
      <c r="G48" s="16">
        <f t="shared" si="1"/>
        <v>339353.04</v>
      </c>
      <c r="H48" s="16">
        <f>IF(B48=0,0,SUM($B$30*D48,$B$34*$B$5*$B$6*52)*VLOOKUP($A48,NPV!$B$3:$D$44,2,0))</f>
        <v>221324.97818347509</v>
      </c>
      <c r="I48" s="16">
        <f t="shared" si="2"/>
        <v>339353.04</v>
      </c>
      <c r="J48" s="16">
        <f t="shared" si="3"/>
        <v>221324.97818347509</v>
      </c>
      <c r="L48" s="16">
        <f t="shared" si="4"/>
        <v>120265.59999999999</v>
      </c>
      <c r="M48" s="16">
        <f>(D48*$B$32+C48*$B$28)*VLOOKUP($A48,NPV!$B$3:$D$44,3,0)</f>
        <v>91146.29455712538</v>
      </c>
      <c r="N48" s="16">
        <f t="shared" si="5"/>
        <v>973300.64</v>
      </c>
      <c r="O48" s="16">
        <f>(D48*$B$31+C48*$B$27)*VLOOKUP($A48,NPV!$B$3:$D$44,2,0)</f>
        <v>634783.59561465064</v>
      </c>
      <c r="P48" s="16">
        <f t="shared" si="6"/>
        <v>1093566.24</v>
      </c>
      <c r="Q48" s="16">
        <f t="shared" si="7"/>
        <v>725929.89017177606</v>
      </c>
      <c r="S48" s="16">
        <f t="shared" si="8"/>
        <v>107.20656996206205</v>
      </c>
      <c r="T48" s="16">
        <f>E48*$B$21*$C$16*$D$16*VLOOKUP($A48,NPV!$B$3:$D$44,2,0)</f>
        <v>69.919785477621119</v>
      </c>
      <c r="U48" s="16">
        <f t="shared" si="9"/>
        <v>254.54632448114265</v>
      </c>
      <c r="V48" s="16">
        <f>E48*$B$21*$C$15*$D$15*VLOOKUP($A48,NPV!$B$3:$D$44,2,0)</f>
        <v>166.01430684832727</v>
      </c>
      <c r="W48" s="16">
        <f t="shared" si="10"/>
        <v>2265.194361972774</v>
      </c>
      <c r="X48" s="16">
        <f>E48*$B$21*$C$14*$D$14*VLOOKUP($A48,NPV!$B$3:$D$44,2,0)</f>
        <v>1477.3525905203473</v>
      </c>
      <c r="Y48" s="16">
        <f t="shared" si="11"/>
        <v>2626.9472564159787</v>
      </c>
      <c r="Z48" s="16">
        <f t="shared" si="12"/>
        <v>1713.2866828462957</v>
      </c>
      <c r="AB48" s="16">
        <f t="shared" si="13"/>
        <v>1435546.2272564161</v>
      </c>
      <c r="AC48" s="16">
        <f t="shared" si="14"/>
        <v>948968.15503809741</v>
      </c>
    </row>
    <row r="49" spans="1:29" x14ac:dyDescent="0.25">
      <c r="A49" s="5">
        <f t="shared" si="15"/>
        <v>2037</v>
      </c>
      <c r="B49" s="10">
        <f t="shared" si="0"/>
        <v>52</v>
      </c>
      <c r="C49" s="10">
        <f>IF(B49=0,0,($B$10/60)*('Rail Diversion (No Build) - Dry'!$B$5*52*2))</f>
        <v>52</v>
      </c>
      <c r="D49" s="10">
        <f>IF(B49=0,0,(('Inputs &amp; Parameters'!$B$18/$B$11)*($B$5*52)))</f>
        <v>424.32</v>
      </c>
      <c r="E49" s="10">
        <f>B49*'Inputs &amp; Parameters'!$B$18</f>
        <v>10608</v>
      </c>
      <c r="G49" s="16">
        <f t="shared" si="1"/>
        <v>339353.04</v>
      </c>
      <c r="H49" s="16">
        <f>IF(B49=0,0,SUM($B$30*D49,$B$34*$B$5*$B$6*52)*VLOOKUP($A49,NPV!$B$3:$D$44,2,0))</f>
        <v>214670.2019238362</v>
      </c>
      <c r="I49" s="16">
        <f t="shared" si="2"/>
        <v>339353.04</v>
      </c>
      <c r="J49" s="16">
        <f t="shared" si="3"/>
        <v>214670.2019238362</v>
      </c>
      <c r="L49" s="16">
        <f t="shared" si="4"/>
        <v>120265.59999999999</v>
      </c>
      <c r="M49" s="16">
        <f>(D49*$B$32+C49*$B$28)*VLOOKUP($A49,NPV!$B$3:$D$44,3,0)</f>
        <v>89359.112310907251</v>
      </c>
      <c r="N49" s="16">
        <f t="shared" si="5"/>
        <v>973300.64</v>
      </c>
      <c r="O49" s="16">
        <f>(D49*$B$31+C49*$B$27)*VLOOKUP($A49,NPV!$B$3:$D$44,2,0)</f>
        <v>615696.98895698413</v>
      </c>
      <c r="P49" s="16">
        <f t="shared" si="6"/>
        <v>1093566.24</v>
      </c>
      <c r="Q49" s="16">
        <f t="shared" si="7"/>
        <v>705056.10126789135</v>
      </c>
      <c r="S49" s="16">
        <f t="shared" si="8"/>
        <v>107.20656996206205</v>
      </c>
      <c r="T49" s="16">
        <f>E49*$B$21*$C$16*$D$16*VLOOKUP($A49,NPV!$B$3:$D$44,2,0)</f>
        <v>67.817444692164045</v>
      </c>
      <c r="U49" s="16">
        <f t="shared" si="9"/>
        <v>254.54632448114265</v>
      </c>
      <c r="V49" s="16">
        <f>E49*$B$21*$C$15*$D$15*VLOOKUP($A49,NPV!$B$3:$D$44,2,0)</f>
        <v>161.02260606045323</v>
      </c>
      <c r="W49" s="16">
        <f t="shared" si="10"/>
        <v>2265.194361972774</v>
      </c>
      <c r="X49" s="16">
        <f>E49*$B$21*$C$14*$D$14*VLOOKUP($A49,NPV!$B$3:$D$44,2,0)</f>
        <v>1432.9317075852059</v>
      </c>
      <c r="Y49" s="16">
        <f t="shared" si="11"/>
        <v>2626.9472564159787</v>
      </c>
      <c r="Z49" s="16">
        <f t="shared" si="12"/>
        <v>1661.7717583378233</v>
      </c>
      <c r="AB49" s="16">
        <f t="shared" si="13"/>
        <v>1435546.2272564161</v>
      </c>
      <c r="AC49" s="16">
        <f t="shared" si="14"/>
        <v>921388.07495006535</v>
      </c>
    </row>
    <row r="50" spans="1:29" x14ac:dyDescent="0.25">
      <c r="A50" s="5">
        <f t="shared" si="15"/>
        <v>2038</v>
      </c>
      <c r="B50" s="10">
        <f t="shared" si="0"/>
        <v>52</v>
      </c>
      <c r="C50" s="10">
        <f>IF(B50=0,0,($B$10/60)*('Rail Diversion (No Build) - Dry'!$B$5*52*2))</f>
        <v>52</v>
      </c>
      <c r="D50" s="10">
        <f>IF(B50=0,0,(('Inputs &amp; Parameters'!$B$18/$B$11)*($B$5*52)))</f>
        <v>424.32</v>
      </c>
      <c r="E50" s="10">
        <f>B50*'Inputs &amp; Parameters'!$B$18</f>
        <v>10608</v>
      </c>
      <c r="G50" s="16">
        <f t="shared" si="1"/>
        <v>339353.04</v>
      </c>
      <c r="H50" s="16">
        <f>IF(B50=0,0,SUM($B$30*D50,$B$34*$B$5*$B$6*52)*VLOOKUP($A50,NPV!$B$3:$D$44,2,0))</f>
        <v>208215.52077966649</v>
      </c>
      <c r="I50" s="16">
        <f t="shared" si="2"/>
        <v>339353.04</v>
      </c>
      <c r="J50" s="16">
        <f t="shared" si="3"/>
        <v>208215.52077966649</v>
      </c>
      <c r="L50" s="16">
        <f t="shared" si="4"/>
        <v>120265.59999999999</v>
      </c>
      <c r="M50" s="16">
        <f>(D50*$B$32+C50*$B$28)*VLOOKUP($A50,NPV!$B$3:$D$44,3,0)</f>
        <v>87606.972853830623</v>
      </c>
      <c r="N50" s="16">
        <f t="shared" si="5"/>
        <v>973300.64</v>
      </c>
      <c r="O50" s="16">
        <f>(D50*$B$31+C50*$B$27)*VLOOKUP($A50,NPV!$B$3:$D$44,2,0)</f>
        <v>597184.27638892736</v>
      </c>
      <c r="P50" s="16">
        <f t="shared" si="6"/>
        <v>1093566.24</v>
      </c>
      <c r="Q50" s="16">
        <f t="shared" si="7"/>
        <v>684791.24924275803</v>
      </c>
      <c r="S50" s="16">
        <f t="shared" si="8"/>
        <v>107.20656996206205</v>
      </c>
      <c r="T50" s="16">
        <f>E50*$B$21*$C$16*$D$16*VLOOKUP($A50,NPV!$B$3:$D$44,2,0)</f>
        <v>65.778316869218273</v>
      </c>
      <c r="U50" s="16">
        <f t="shared" si="9"/>
        <v>254.54632448114265</v>
      </c>
      <c r="V50" s="16">
        <f>E50*$B$21*$C$15*$D$15*VLOOKUP($A50,NPV!$B$3:$D$44,2,0)</f>
        <v>156.18099520897496</v>
      </c>
      <c r="W50" s="16">
        <f t="shared" si="10"/>
        <v>2265.194361972774</v>
      </c>
      <c r="X50" s="16">
        <f>E50*$B$21*$C$14*$D$14*VLOOKUP($A50,NPV!$B$3:$D$44,2,0)</f>
        <v>1389.8464671049524</v>
      </c>
      <c r="Y50" s="16">
        <f t="shared" si="11"/>
        <v>2626.9472564159787</v>
      </c>
      <c r="Z50" s="16">
        <f t="shared" si="12"/>
        <v>1611.8057791831457</v>
      </c>
      <c r="AB50" s="16">
        <f t="shared" si="13"/>
        <v>1435546.2272564161</v>
      </c>
      <c r="AC50" s="16">
        <f t="shared" si="14"/>
        <v>894618.57580160769</v>
      </c>
    </row>
    <row r="51" spans="1:29" x14ac:dyDescent="0.25">
      <c r="A51" s="5">
        <f t="shared" si="15"/>
        <v>2039</v>
      </c>
      <c r="B51" s="10">
        <f t="shared" si="0"/>
        <v>52</v>
      </c>
      <c r="C51" s="10">
        <f>IF(B51=0,0,($B$10/60)*('Rail Diversion (No Build) - Dry'!$B$5*52*2))</f>
        <v>52</v>
      </c>
      <c r="D51" s="10">
        <f>IF(B51=0,0,(('Inputs &amp; Parameters'!$B$18/$B$11)*($B$5*52)))</f>
        <v>424.32</v>
      </c>
      <c r="E51" s="10">
        <f>B51*'Inputs &amp; Parameters'!$B$18</f>
        <v>10608</v>
      </c>
      <c r="G51" s="16">
        <f t="shared" si="1"/>
        <v>339353.04</v>
      </c>
      <c r="H51" s="16">
        <f>IF(B51=0,0,SUM($B$30*D51,$B$34*$B$5*$B$6*52)*VLOOKUP($A51,NPV!$B$3:$D$44,2,0))</f>
        <v>201954.91831199467</v>
      </c>
      <c r="I51" s="16">
        <f t="shared" si="2"/>
        <v>339353.04</v>
      </c>
      <c r="J51" s="16">
        <f t="shared" si="3"/>
        <v>201954.91831199467</v>
      </c>
      <c r="L51" s="16">
        <f t="shared" si="4"/>
        <v>120265.59999999999</v>
      </c>
      <c r="M51" s="16">
        <f>(D51*$B$32+C51*$B$28)*VLOOKUP($A51,NPV!$B$3:$D$44,3,0)</f>
        <v>85889.189072382971</v>
      </c>
      <c r="N51" s="16">
        <f t="shared" si="5"/>
        <v>973300.64</v>
      </c>
      <c r="O51" s="16">
        <f>(D51*$B$31+C51*$B$27)*VLOOKUP($A51,NPV!$B$3:$D$44,2,0)</f>
        <v>579228.20212311088</v>
      </c>
      <c r="P51" s="16">
        <f t="shared" si="6"/>
        <v>1093566.24</v>
      </c>
      <c r="Q51" s="16">
        <f t="shared" si="7"/>
        <v>665117.39119549387</v>
      </c>
      <c r="S51" s="16">
        <f t="shared" si="8"/>
        <v>107.20656996206205</v>
      </c>
      <c r="T51" s="16">
        <f>E51*$B$21*$C$16*$D$16*VLOOKUP($A51,NPV!$B$3:$D$44,2,0)</f>
        <v>63.80050132804876</v>
      </c>
      <c r="U51" s="16">
        <f t="shared" si="9"/>
        <v>254.54632448114265</v>
      </c>
      <c r="V51" s="16">
        <f>E51*$B$21*$C$15*$D$15*VLOOKUP($A51,NPV!$B$3:$D$44,2,0)</f>
        <v>151.48496140540735</v>
      </c>
      <c r="W51" s="16">
        <f t="shared" si="10"/>
        <v>2265.194361972774</v>
      </c>
      <c r="X51" s="16">
        <f>E51*$B$21*$C$14*$D$14*VLOOKUP($A51,NPV!$B$3:$D$44,2,0)</f>
        <v>1348.0567091221651</v>
      </c>
      <c r="Y51" s="16">
        <f t="shared" si="11"/>
        <v>2626.9472564159787</v>
      </c>
      <c r="Z51" s="16">
        <f t="shared" si="12"/>
        <v>1563.3421718556212</v>
      </c>
      <c r="AB51" s="16">
        <f t="shared" si="13"/>
        <v>1435546.2272564161</v>
      </c>
      <c r="AC51" s="16">
        <f t="shared" si="14"/>
        <v>868635.65167934413</v>
      </c>
    </row>
    <row r="52" spans="1:29" x14ac:dyDescent="0.25">
      <c r="A52" s="5">
        <f t="shared" si="15"/>
        <v>2040</v>
      </c>
      <c r="B52" s="10">
        <f t="shared" si="0"/>
        <v>52</v>
      </c>
      <c r="C52" s="10">
        <f>IF(B52=0,0,($B$10/60)*('Rail Diversion (No Build) - Dry'!$B$5*52*2))</f>
        <v>52</v>
      </c>
      <c r="D52" s="10">
        <f>IF(B52=0,0,(('Inputs &amp; Parameters'!$B$18/$B$11)*($B$5*52)))</f>
        <v>424.32</v>
      </c>
      <c r="E52" s="10">
        <f>B52*'Inputs &amp; Parameters'!$B$18</f>
        <v>10608</v>
      </c>
      <c r="G52" s="16">
        <f t="shared" si="1"/>
        <v>339353.04</v>
      </c>
      <c r="H52" s="16">
        <f>IF(B52=0,0,SUM($B$30*D52,$B$34*$B$5*$B$6*52)*VLOOKUP($A52,NPV!$B$3:$D$44,2,0))</f>
        <v>195882.55898350602</v>
      </c>
      <c r="I52" s="16">
        <f t="shared" si="2"/>
        <v>339353.04</v>
      </c>
      <c r="J52" s="16">
        <f t="shared" si="3"/>
        <v>195882.55898350602</v>
      </c>
      <c r="L52" s="16">
        <f t="shared" si="4"/>
        <v>120265.59999999999</v>
      </c>
      <c r="M52" s="16">
        <f>(D52*$B$32+C52*$B$28)*VLOOKUP($A52,NPV!$B$3:$D$44,3,0)</f>
        <v>84205.087325865665</v>
      </c>
      <c r="N52" s="16">
        <f t="shared" si="5"/>
        <v>973300.64</v>
      </c>
      <c r="O52" s="16">
        <f>(D52*$B$31+C52*$B$27)*VLOOKUP($A52,NPV!$B$3:$D$44,2,0)</f>
        <v>561812.02921737242</v>
      </c>
      <c r="P52" s="16">
        <f t="shared" si="6"/>
        <v>1093566.24</v>
      </c>
      <c r="Q52" s="16">
        <f t="shared" si="7"/>
        <v>646017.11654323805</v>
      </c>
      <c r="S52" s="16">
        <f t="shared" si="8"/>
        <v>107.20656996206205</v>
      </c>
      <c r="T52" s="16">
        <f>E52*$B$21*$C$16*$D$16*VLOOKUP($A52,NPV!$B$3:$D$44,2,0)</f>
        <v>61.882154537389688</v>
      </c>
      <c r="U52" s="16">
        <f t="shared" si="9"/>
        <v>254.54632448114265</v>
      </c>
      <c r="V52" s="16">
        <f>E52*$B$21*$C$15*$D$15*VLOOKUP($A52,NPV!$B$3:$D$44,2,0)</f>
        <v>146.93012745432335</v>
      </c>
      <c r="W52" s="16">
        <f t="shared" si="10"/>
        <v>2265.194361972774</v>
      </c>
      <c r="X52" s="16">
        <f>E52*$B$21*$C$14*$D$14*VLOOKUP($A52,NPV!$B$3:$D$44,2,0)</f>
        <v>1307.5234812048161</v>
      </c>
      <c r="Y52" s="16">
        <f t="shared" si="11"/>
        <v>2626.9472564159787</v>
      </c>
      <c r="Z52" s="16">
        <f t="shared" si="12"/>
        <v>1516.3357631965291</v>
      </c>
      <c r="AB52" s="16">
        <f t="shared" si="13"/>
        <v>1435546.2272564161</v>
      </c>
      <c r="AC52" s="16">
        <f t="shared" si="14"/>
        <v>843416.01128994068</v>
      </c>
    </row>
    <row r="53" spans="1:29" x14ac:dyDescent="0.25">
      <c r="A53" s="5">
        <f t="shared" si="15"/>
        <v>2041</v>
      </c>
      <c r="B53" s="10">
        <f t="shared" si="0"/>
        <v>52</v>
      </c>
      <c r="C53" s="10">
        <f>IF(B53=0,0,($B$10/60)*('Rail Diversion (No Build) - Dry'!$B$5*52*2))</f>
        <v>52</v>
      </c>
      <c r="D53" s="10">
        <f>IF(B53=0,0,(('Inputs &amp; Parameters'!$B$18/$B$11)*($B$5*52)))</f>
        <v>424.32</v>
      </c>
      <c r="E53" s="10">
        <f>B53*'Inputs &amp; Parameters'!$B$18</f>
        <v>10608</v>
      </c>
      <c r="G53" s="16">
        <f t="shared" si="1"/>
        <v>339353.04</v>
      </c>
      <c r="H53" s="16">
        <f>IF(B53=0,0,SUM($B$30*D53,$B$34*$B$5*$B$6*52)*VLOOKUP($A53,NPV!$B$3:$D$44,2,0))</f>
        <v>189992.78271921052</v>
      </c>
      <c r="I53" s="16">
        <f t="shared" si="2"/>
        <v>339353.04</v>
      </c>
      <c r="J53" s="16">
        <f t="shared" si="3"/>
        <v>189992.78271921052</v>
      </c>
      <c r="L53" s="16">
        <f t="shared" si="4"/>
        <v>120265.59999999999</v>
      </c>
      <c r="M53" s="16">
        <f>(D53*$B$32+C53*$B$28)*VLOOKUP($A53,NPV!$B$3:$D$44,3,0)</f>
        <v>82554.007182221234</v>
      </c>
      <c r="N53" s="16">
        <f t="shared" si="5"/>
        <v>973300.64</v>
      </c>
      <c r="O53" s="16">
        <f>(D53*$B$31+C53*$B$27)*VLOOKUP($A53,NPV!$B$3:$D$44,2,0)</f>
        <v>544919.52397417312</v>
      </c>
      <c r="P53" s="16">
        <f t="shared" si="6"/>
        <v>1093566.24</v>
      </c>
      <c r="Q53" s="16">
        <f t="shared" si="7"/>
        <v>627473.5311563944</v>
      </c>
      <c r="S53" s="16">
        <f t="shared" si="8"/>
        <v>107.20656996206205</v>
      </c>
      <c r="T53" s="16">
        <f>E53*$B$21*$C$16*$D$16*VLOOKUP($A53,NPV!$B$3:$D$44,2,0)</f>
        <v>60.021488397080205</v>
      </c>
      <c r="U53" s="16">
        <f t="shared" si="9"/>
        <v>254.54632448114265</v>
      </c>
      <c r="V53" s="16">
        <f>E53*$B$21*$C$15*$D$15*VLOOKUP($A53,NPV!$B$3:$D$44,2,0)</f>
        <v>142.51224777334951</v>
      </c>
      <c r="W53" s="16">
        <f t="shared" si="10"/>
        <v>2265.194361972774</v>
      </c>
      <c r="X53" s="16">
        <f>E53*$B$21*$C$14*$D$14*VLOOKUP($A53,NPV!$B$3:$D$44,2,0)</f>
        <v>1268.209002138522</v>
      </c>
      <c r="Y53" s="16">
        <f t="shared" si="11"/>
        <v>2626.9472564159787</v>
      </c>
      <c r="Z53" s="16">
        <f t="shared" si="12"/>
        <v>1470.7427383089516</v>
      </c>
      <c r="AB53" s="16">
        <f t="shared" si="13"/>
        <v>1435546.2272564161</v>
      </c>
      <c r="AC53" s="16">
        <f t="shared" si="14"/>
        <v>818937.05661391385</v>
      </c>
    </row>
    <row r="54" spans="1:29" x14ac:dyDescent="0.25">
      <c r="A54" s="5">
        <f t="shared" si="15"/>
        <v>2042</v>
      </c>
      <c r="B54" s="10">
        <f t="shared" si="0"/>
        <v>52</v>
      </c>
      <c r="C54" s="10">
        <f>IF(B54=0,0,($B$10/60)*('Rail Diversion (No Build) - Dry'!$B$5*52*2))</f>
        <v>52</v>
      </c>
      <c r="D54" s="10">
        <f>IF(B54=0,0,(('Inputs &amp; Parameters'!$B$18/$B$11)*($B$5*52)))</f>
        <v>424.32</v>
      </c>
      <c r="E54" s="10">
        <f>B54*'Inputs &amp; Parameters'!$B$18</f>
        <v>10608</v>
      </c>
      <c r="G54" s="16">
        <f t="shared" si="1"/>
        <v>339353.04</v>
      </c>
      <c r="H54" s="16">
        <f>IF(B54=0,0,SUM($B$30*D54,$B$34*$B$5*$B$6*52)*VLOOKUP($A54,NPV!$B$3:$D$44,2,0))</f>
        <v>184280.09963066006</v>
      </c>
      <c r="I54" s="16">
        <f t="shared" si="2"/>
        <v>339353.04</v>
      </c>
      <c r="J54" s="16">
        <f t="shared" si="3"/>
        <v>184280.09963066006</v>
      </c>
      <c r="L54" s="16">
        <f t="shared" si="4"/>
        <v>120265.59999999999</v>
      </c>
      <c r="M54" s="16">
        <f>(D54*$B$32+C54*$B$28)*VLOOKUP($A54,NPV!$B$3:$D$44,3,0)</f>
        <v>80935.301159040435</v>
      </c>
      <c r="N54" s="16">
        <f t="shared" si="5"/>
        <v>973300.64</v>
      </c>
      <c r="O54" s="16">
        <f>(D54*$B$31+C54*$B$27)*VLOOKUP($A54,NPV!$B$3:$D$44,2,0)</f>
        <v>528534.94080909132</v>
      </c>
      <c r="P54" s="16">
        <f t="shared" si="6"/>
        <v>1093566.24</v>
      </c>
      <c r="Q54" s="16">
        <f t="shared" si="7"/>
        <v>609470.24196813174</v>
      </c>
      <c r="S54" s="16">
        <f t="shared" si="8"/>
        <v>107.20656996206205</v>
      </c>
      <c r="T54" s="16">
        <f>E54*$B$21*$C$16*$D$16*VLOOKUP($A54,NPV!$B$3:$D$44,2,0)</f>
        <v>58.216768571367808</v>
      </c>
      <c r="U54" s="16">
        <f t="shared" si="9"/>
        <v>254.54632448114265</v>
      </c>
      <c r="V54" s="16">
        <f>E54*$B$21*$C$15*$D$15*VLOOKUP($A54,NPV!$B$3:$D$44,2,0)</f>
        <v>138.22720443583853</v>
      </c>
      <c r="W54" s="16">
        <f t="shared" si="10"/>
        <v>2265.194361972774</v>
      </c>
      <c r="X54" s="16">
        <f>E54*$B$21*$C$14*$D$14*VLOOKUP($A54,NPV!$B$3:$D$44,2,0)</f>
        <v>1230.0766267104966</v>
      </c>
      <c r="Y54" s="16">
        <f t="shared" si="11"/>
        <v>2626.9472564159787</v>
      </c>
      <c r="Z54" s="16">
        <f t="shared" si="12"/>
        <v>1426.5205997177029</v>
      </c>
      <c r="AB54" s="16">
        <f t="shared" si="13"/>
        <v>1435546.2272564161</v>
      </c>
      <c r="AC54" s="16">
        <f t="shared" si="14"/>
        <v>795176.86219850951</v>
      </c>
    </row>
    <row r="55" spans="1:29" x14ac:dyDescent="0.25">
      <c r="A55" s="5">
        <f t="shared" si="15"/>
        <v>2043</v>
      </c>
      <c r="B55" s="10">
        <f t="shared" si="0"/>
        <v>52</v>
      </c>
      <c r="C55" s="10">
        <f>IF(B55=0,0,($B$10/60)*('Rail Diversion (No Build) - Dry'!$B$5*52*2))</f>
        <v>52</v>
      </c>
      <c r="D55" s="10">
        <f>IF(B55=0,0,(('Inputs &amp; Parameters'!$B$18/$B$11)*($B$5*52)))</f>
        <v>424.32</v>
      </c>
      <c r="E55" s="10">
        <f>B55*'Inputs &amp; Parameters'!$B$18</f>
        <v>10608</v>
      </c>
      <c r="G55" s="16">
        <f t="shared" si="1"/>
        <v>339353.04</v>
      </c>
      <c r="H55" s="16">
        <f>IF(B55=0,0,SUM($B$30*D55,$B$34*$B$5*$B$6*52)*VLOOKUP($A55,NPV!$B$3:$D$44,2,0))</f>
        <v>178739.18489879734</v>
      </c>
      <c r="I55" s="16">
        <f t="shared" si="2"/>
        <v>339353.04</v>
      </c>
      <c r="J55" s="16">
        <f t="shared" si="3"/>
        <v>178739.18489879734</v>
      </c>
      <c r="L55" s="16">
        <f t="shared" si="4"/>
        <v>120265.59999999999</v>
      </c>
      <c r="M55" s="16">
        <f>(D55*$B$32+C55*$B$28)*VLOOKUP($A55,NPV!$B$3:$D$44,3,0)</f>
        <v>79348.334469647481</v>
      </c>
      <c r="N55" s="16">
        <f t="shared" si="5"/>
        <v>973300.64</v>
      </c>
      <c r="O55" s="16">
        <f>(D55*$B$31+C55*$B$27)*VLOOKUP($A55,NPV!$B$3:$D$44,2,0)</f>
        <v>512643.00757428841</v>
      </c>
      <c r="P55" s="16">
        <f t="shared" si="6"/>
        <v>1093566.24</v>
      </c>
      <c r="Q55" s="16">
        <f t="shared" si="7"/>
        <v>591991.3420439359</v>
      </c>
      <c r="S55" s="16">
        <f t="shared" si="8"/>
        <v>107.20656996206205</v>
      </c>
      <c r="T55" s="16">
        <f>E55*$B$21*$C$16*$D$16*VLOOKUP($A55,NPV!$B$3:$D$44,2,0)</f>
        <v>56.466312872325709</v>
      </c>
      <c r="U55" s="16">
        <f t="shared" si="9"/>
        <v>254.54632448114265</v>
      </c>
      <c r="V55" s="16">
        <f>E55*$B$21*$C$15*$D$15*VLOOKUP($A55,NPV!$B$3:$D$44,2,0)</f>
        <v>134.0710033325301</v>
      </c>
      <c r="W55" s="16">
        <f t="shared" si="10"/>
        <v>2265.194361972774</v>
      </c>
      <c r="X55" s="16">
        <f>E55*$B$21*$C$14*$D$14*VLOOKUP($A55,NPV!$B$3:$D$44,2,0)</f>
        <v>1193.0908115523732</v>
      </c>
      <c r="Y55" s="16">
        <f t="shared" si="11"/>
        <v>2626.9472564159787</v>
      </c>
      <c r="Z55" s="16">
        <f t="shared" si="12"/>
        <v>1383.6281277572291</v>
      </c>
      <c r="AB55" s="16">
        <f t="shared" si="13"/>
        <v>1435546.2272564161</v>
      </c>
      <c r="AC55" s="16">
        <f t="shared" si="14"/>
        <v>772114.15507049044</v>
      </c>
    </row>
    <row r="56" spans="1:29" x14ac:dyDescent="0.25">
      <c r="A56" s="5">
        <f t="shared" si="15"/>
        <v>2044</v>
      </c>
      <c r="B56" s="10">
        <f t="shared" si="0"/>
        <v>52</v>
      </c>
      <c r="C56" s="10">
        <f>IF(B56=0,0,($B$10/60)*('Rail Diversion (No Build) - Dry'!$B$5*52*2))</f>
        <v>52</v>
      </c>
      <c r="D56" s="10">
        <f>IF(B56=0,0,(('Inputs &amp; Parameters'!$B$18/$B$11)*($B$5*52)))</f>
        <v>424.32</v>
      </c>
      <c r="E56" s="10">
        <f>B56*'Inputs &amp; Parameters'!$B$18</f>
        <v>10608</v>
      </c>
      <c r="G56" s="16">
        <f t="shared" si="1"/>
        <v>339353.04</v>
      </c>
      <c r="H56" s="16">
        <f>IF(B56=0,0,SUM($B$30*D56,$B$34*$B$5*$B$6*52)*VLOOKUP($A56,NPV!$B$3:$D$44,2,0))</f>
        <v>173364.8738106667</v>
      </c>
      <c r="I56" s="16">
        <f t="shared" si="2"/>
        <v>339353.04</v>
      </c>
      <c r="J56" s="16">
        <f t="shared" si="3"/>
        <v>173364.8738106667</v>
      </c>
      <c r="L56" s="16">
        <f t="shared" si="4"/>
        <v>120265.59999999999</v>
      </c>
      <c r="M56" s="16">
        <f>(D56*$B$32+C56*$B$28)*VLOOKUP($A56,NPV!$B$3:$D$44,3,0)</f>
        <v>77792.484774164186</v>
      </c>
      <c r="N56" s="16">
        <f t="shared" si="5"/>
        <v>973300.64</v>
      </c>
      <c r="O56" s="16">
        <f>(D56*$B$31+C56*$B$27)*VLOOKUP($A56,NPV!$B$3:$D$44,2,0)</f>
        <v>497228.91132326721</v>
      </c>
      <c r="P56" s="16">
        <f t="shared" si="6"/>
        <v>1093566.24</v>
      </c>
      <c r="Q56" s="16">
        <f t="shared" si="7"/>
        <v>575021.39609743143</v>
      </c>
      <c r="S56" s="16">
        <f t="shared" si="8"/>
        <v>107.20656996206205</v>
      </c>
      <c r="T56" s="16">
        <f>E56*$B$21*$C$16*$D$16*VLOOKUP($A56,NPV!$B$3:$D$44,2,0)</f>
        <v>54.768489691877519</v>
      </c>
      <c r="U56" s="16">
        <f t="shared" si="9"/>
        <v>254.54632448114265</v>
      </c>
      <c r="V56" s="16">
        <f>E56*$B$21*$C$15*$D$15*VLOOKUP($A56,NPV!$B$3:$D$44,2,0)</f>
        <v>130.03977044862282</v>
      </c>
      <c r="W56" s="16">
        <f t="shared" si="10"/>
        <v>2265.194361972774</v>
      </c>
      <c r="X56" s="16">
        <f>E56*$B$21*$C$14*$D$14*VLOOKUP($A56,NPV!$B$3:$D$44,2,0)</f>
        <v>1157.2170820100614</v>
      </c>
      <c r="Y56" s="16">
        <f t="shared" si="11"/>
        <v>2626.9472564159787</v>
      </c>
      <c r="Z56" s="16">
        <f t="shared" si="12"/>
        <v>1342.0253421505618</v>
      </c>
      <c r="AB56" s="16">
        <f t="shared" si="13"/>
        <v>1435546.2272564161</v>
      </c>
      <c r="AC56" s="16">
        <f t="shared" si="14"/>
        <v>749728.29525024875</v>
      </c>
    </row>
    <row r="57" spans="1:29" x14ac:dyDescent="0.25">
      <c r="A57" s="5">
        <f t="shared" si="15"/>
        <v>2045</v>
      </c>
      <c r="B57" s="10">
        <f t="shared" si="0"/>
        <v>52</v>
      </c>
      <c r="C57" s="10">
        <f>IF(B57=0,0,($B$10/60)*('Rail Diversion (No Build) - Dry'!$B$5*52*2))</f>
        <v>52</v>
      </c>
      <c r="D57" s="10">
        <f>IF(B57=0,0,(('Inputs &amp; Parameters'!$B$18/$B$11)*($B$5*52)))</f>
        <v>424.32</v>
      </c>
      <c r="E57" s="10">
        <f>B57*'Inputs &amp; Parameters'!$B$18</f>
        <v>10608</v>
      </c>
      <c r="G57" s="16">
        <f t="shared" si="1"/>
        <v>339353.04</v>
      </c>
      <c r="H57" s="16">
        <f>IF(B57=0,0,SUM($B$30*D57,$B$34*$B$5*$B$6*52)*VLOOKUP($A57,NPV!$B$3:$D$44,2,0))</f>
        <v>168152.1569453605</v>
      </c>
      <c r="I57" s="16">
        <f t="shared" si="2"/>
        <v>339353.04</v>
      </c>
      <c r="J57" s="16">
        <f t="shared" si="3"/>
        <v>168152.1569453605</v>
      </c>
      <c r="L57" s="16">
        <f t="shared" si="4"/>
        <v>120265.59999999999</v>
      </c>
      <c r="M57" s="16">
        <f>(D57*$B$32+C57*$B$28)*VLOOKUP($A57,NPV!$B$3:$D$44,3,0)</f>
        <v>76267.141935455104</v>
      </c>
      <c r="N57" s="16">
        <f t="shared" si="5"/>
        <v>973300.64</v>
      </c>
      <c r="O57" s="16">
        <f>(D57*$B$31+C57*$B$27)*VLOOKUP($A57,NPV!$B$3:$D$44,2,0)</f>
        <v>482278.28450365388</v>
      </c>
      <c r="P57" s="16">
        <f t="shared" si="6"/>
        <v>1093566.24</v>
      </c>
      <c r="Q57" s="16">
        <f t="shared" si="7"/>
        <v>558545.42643910903</v>
      </c>
      <c r="S57" s="16">
        <f t="shared" si="8"/>
        <v>107.20656996206205</v>
      </c>
      <c r="T57" s="16">
        <f>E57*$B$21*$C$16*$D$16*VLOOKUP($A57,NPV!$B$3:$D$44,2,0)</f>
        <v>53.121716480967521</v>
      </c>
      <c r="U57" s="16">
        <f t="shared" si="9"/>
        <v>254.54632448114265</v>
      </c>
      <c r="V57" s="16">
        <f>E57*$B$21*$C$15*$D$15*VLOOKUP($A57,NPV!$B$3:$D$44,2,0)</f>
        <v>126.12974825278643</v>
      </c>
      <c r="W57" s="16">
        <f t="shared" si="10"/>
        <v>2265.194361972774</v>
      </c>
      <c r="X57" s="16">
        <f>E57*$B$21*$C$14*$D$14*VLOOKUP($A57,NPV!$B$3:$D$44,2,0)</f>
        <v>1122.4220000097587</v>
      </c>
      <c r="Y57" s="16">
        <f t="shared" si="11"/>
        <v>2626.9472564159787</v>
      </c>
      <c r="Z57" s="16">
        <f t="shared" si="12"/>
        <v>1301.6734647435126</v>
      </c>
      <c r="AB57" s="16">
        <f t="shared" si="13"/>
        <v>1435546.2272564161</v>
      </c>
      <c r="AC57" s="16">
        <f t="shared" si="14"/>
        <v>727999.25684921304</v>
      </c>
    </row>
    <row r="58" spans="1:29" x14ac:dyDescent="0.25">
      <c r="A58" s="5">
        <f t="shared" si="15"/>
        <v>2046</v>
      </c>
      <c r="B58" s="10">
        <f t="shared" si="0"/>
        <v>52</v>
      </c>
      <c r="C58" s="10">
        <f>IF(B58=0,0,($B$10/60)*('Rail Diversion (No Build) - Dry'!$B$5*52*2))</f>
        <v>52</v>
      </c>
      <c r="D58" s="10">
        <f>IF(B58=0,0,(('Inputs &amp; Parameters'!$B$18/$B$11)*($B$5*52)))</f>
        <v>424.32</v>
      </c>
      <c r="E58" s="10">
        <f>B58*'Inputs &amp; Parameters'!$B$18</f>
        <v>10608</v>
      </c>
      <c r="G58" s="16">
        <f t="shared" si="1"/>
        <v>339353.04</v>
      </c>
      <c r="H58" s="16">
        <f>IF(B58=0,0,SUM($B$30*D58,$B$34*$B$5*$B$6*52)*VLOOKUP($A58,NPV!$B$3:$D$44,2,0))</f>
        <v>163096.1755047144</v>
      </c>
      <c r="I58" s="16">
        <f t="shared" si="2"/>
        <v>339353.04</v>
      </c>
      <c r="J58" s="16">
        <f t="shared" si="3"/>
        <v>163096.1755047144</v>
      </c>
      <c r="L58" s="16">
        <f t="shared" si="4"/>
        <v>120265.59999999999</v>
      </c>
      <c r="M58" s="16">
        <f>(D58*$B$32+C58*$B$28)*VLOOKUP($A58,NPV!$B$3:$D$44,3,0)</f>
        <v>74771.707779857941</v>
      </c>
      <c r="N58" s="16">
        <f t="shared" si="5"/>
        <v>973300.64</v>
      </c>
      <c r="O58" s="16">
        <f>(D58*$B$31+C58*$B$27)*VLOOKUP($A58,NPV!$B$3:$D$44,2,0)</f>
        <v>467777.1915651348</v>
      </c>
      <c r="P58" s="16">
        <f t="shared" si="6"/>
        <v>1093566.24</v>
      </c>
      <c r="Q58" s="16">
        <f t="shared" si="7"/>
        <v>542548.89934499271</v>
      </c>
      <c r="S58" s="16">
        <f t="shared" si="8"/>
        <v>107.20656996206205</v>
      </c>
      <c r="T58" s="16">
        <f>E58*$B$21*$C$16*$D$16*VLOOKUP($A58,NPV!$B$3:$D$44,2,0)</f>
        <v>51.524458274459292</v>
      </c>
      <c r="U58" s="16">
        <f t="shared" si="9"/>
        <v>254.54632448114265</v>
      </c>
      <c r="V58" s="16">
        <f>E58*$B$21*$C$15*$D$15*VLOOKUP($A58,NPV!$B$3:$D$44,2,0)</f>
        <v>122.33729219474922</v>
      </c>
      <c r="W58" s="16">
        <f t="shared" si="10"/>
        <v>2265.194361972774</v>
      </c>
      <c r="X58" s="16">
        <f>E58*$B$21*$C$14*$D$14*VLOOKUP($A58,NPV!$B$3:$D$44,2,0)</f>
        <v>1088.673132890164</v>
      </c>
      <c r="Y58" s="16">
        <f t="shared" si="11"/>
        <v>2626.9472564159787</v>
      </c>
      <c r="Z58" s="16">
        <f t="shared" si="12"/>
        <v>1262.5348833593725</v>
      </c>
      <c r="AB58" s="16">
        <f t="shared" si="13"/>
        <v>1435546.2272564161</v>
      </c>
      <c r="AC58" s="16">
        <f t="shared" si="14"/>
        <v>706907.60973306641</v>
      </c>
    </row>
    <row r="59" spans="1:29" x14ac:dyDescent="0.25">
      <c r="A59" s="5">
        <f t="shared" si="15"/>
        <v>2047</v>
      </c>
      <c r="B59" s="10">
        <f t="shared" si="0"/>
        <v>52</v>
      </c>
      <c r="C59" s="10">
        <f>IF(B59=0,0,($B$10/60)*('Rail Diversion (No Build) - Dry'!$B$5*52*2))</f>
        <v>52</v>
      </c>
      <c r="D59" s="10">
        <f>IF(B59=0,0,(('Inputs &amp; Parameters'!$B$18/$B$11)*($B$5*52)))</f>
        <v>424.32</v>
      </c>
      <c r="E59" s="10">
        <f>B59*'Inputs &amp; Parameters'!$B$18</f>
        <v>10608</v>
      </c>
      <c r="G59" s="16">
        <f t="shared" si="1"/>
        <v>339353.04</v>
      </c>
      <c r="H59" s="16">
        <f>IF(B59=0,0,SUM($B$30*D59,$B$34*$B$5*$B$6*52)*VLOOKUP($A59,NPV!$B$3:$D$44,2,0))</f>
        <v>158192.21678439804</v>
      </c>
      <c r="I59" s="16">
        <f t="shared" si="2"/>
        <v>339353.04</v>
      </c>
      <c r="J59" s="16">
        <f t="shared" si="3"/>
        <v>158192.21678439804</v>
      </c>
      <c r="L59" s="16">
        <f t="shared" si="4"/>
        <v>120265.59999999999</v>
      </c>
      <c r="M59" s="16">
        <f>(D59*$B$32+C59*$B$28)*VLOOKUP($A59,NPV!$B$3:$D$44,3,0)</f>
        <v>73305.595862605827</v>
      </c>
      <c r="N59" s="16">
        <f t="shared" si="5"/>
        <v>973300.64</v>
      </c>
      <c r="O59" s="16">
        <f>(D59*$B$31+C59*$B$27)*VLOOKUP($A59,NPV!$B$3:$D$44,2,0)</f>
        <v>453712.11597006285</v>
      </c>
      <c r="P59" s="16">
        <f t="shared" si="6"/>
        <v>1093566.24</v>
      </c>
      <c r="Q59" s="16">
        <f t="shared" si="7"/>
        <v>527017.71183266863</v>
      </c>
      <c r="S59" s="16">
        <f t="shared" si="8"/>
        <v>107.20656996206205</v>
      </c>
      <c r="T59" s="16">
        <f>E59*$B$21*$C$16*$D$16*VLOOKUP($A59,NPV!$B$3:$D$44,2,0)</f>
        <v>49.975226260387288</v>
      </c>
      <c r="U59" s="16">
        <f t="shared" si="9"/>
        <v>254.54632448114265</v>
      </c>
      <c r="V59" s="16">
        <f>E59*$B$21*$C$15*$D$15*VLOOKUP($A59,NPV!$B$3:$D$44,2,0)</f>
        <v>118.65886730819517</v>
      </c>
      <c r="W59" s="16">
        <f t="shared" si="10"/>
        <v>2265.194361972774</v>
      </c>
      <c r="X59" s="16">
        <f>E59*$B$21*$C$14*$D$14*VLOOKUP($A59,NPV!$B$3:$D$44,2,0)</f>
        <v>1055.9390231718369</v>
      </c>
      <c r="Y59" s="16">
        <f t="shared" si="11"/>
        <v>2626.9472564159787</v>
      </c>
      <c r="Z59" s="16">
        <f t="shared" si="12"/>
        <v>1224.5731167404192</v>
      </c>
      <c r="AB59" s="16">
        <f t="shared" si="13"/>
        <v>1435546.2272564161</v>
      </c>
      <c r="AC59" s="16">
        <f t="shared" si="14"/>
        <v>686434.50173380715</v>
      </c>
    </row>
    <row r="60" spans="1:29" x14ac:dyDescent="0.25">
      <c r="A60" s="11" t="s">
        <v>44</v>
      </c>
      <c r="B60" s="37">
        <f>SUBTOTAL(9,B40:B59)</f>
        <v>1040</v>
      </c>
      <c r="C60" s="37">
        <f>SUBTOTAL(9,C40:C59)</f>
        <v>1040</v>
      </c>
      <c r="D60" s="37">
        <f>SUBTOTAL(9,D40:D59)</f>
        <v>8486.3999999999978</v>
      </c>
      <c r="E60" s="37">
        <f>SUBTOTAL(9,E40:E59)</f>
        <v>212160</v>
      </c>
      <c r="G60" s="39">
        <f t="shared" ref="G60:I60" si="16">SUBTOTAL(9,G40:G59)</f>
        <v>6787060.7999999998</v>
      </c>
      <c r="H60" s="39">
        <f t="shared" si="16"/>
        <v>4294187.4807421332</v>
      </c>
      <c r="I60" s="39">
        <f t="shared" si="16"/>
        <v>6787060.7999999998</v>
      </c>
      <c r="J60" s="39">
        <f>SUBTOTAL(9,J40:J59)</f>
        <v>4294187.4807421332</v>
      </c>
      <c r="L60" s="39">
        <f t="shared" ref="L60:P60" si="17">SUBTOTAL(9,L40:L59)</f>
        <v>2405312.0000000009</v>
      </c>
      <c r="M60" s="39">
        <f t="shared" si="17"/>
        <v>1781133.1710037459</v>
      </c>
      <c r="N60" s="39">
        <f t="shared" si="17"/>
        <v>19466012.800000004</v>
      </c>
      <c r="O60" s="39">
        <f t="shared" si="17"/>
        <v>12316186.774947727</v>
      </c>
      <c r="P60" s="39">
        <f t="shared" si="17"/>
        <v>21871324.799999993</v>
      </c>
      <c r="Q60" s="39">
        <f>SUBTOTAL(9,Q40:Q59)</f>
        <v>14097319.945951477</v>
      </c>
      <c r="R60" s="1"/>
      <c r="S60" s="39">
        <f t="shared" ref="S60:Y60" si="18">SUBTOTAL(9,S40:S59)</f>
        <v>2144.1313992412411</v>
      </c>
      <c r="T60" s="39">
        <f t="shared" si="18"/>
        <v>1356.59639467026</v>
      </c>
      <c r="U60" s="39">
        <f t="shared" si="18"/>
        <v>5090.9264896228533</v>
      </c>
      <c r="V60" s="39">
        <f t="shared" si="18"/>
        <v>3221.0397757328114</v>
      </c>
      <c r="W60" s="39">
        <f t="shared" si="18"/>
        <v>45303.887239455493</v>
      </c>
      <c r="X60" s="39">
        <f t="shared" si="18"/>
        <v>28663.863658422368</v>
      </c>
      <c r="Y60" s="39">
        <f t="shared" si="18"/>
        <v>52538.945128319596</v>
      </c>
      <c r="Z60" s="39">
        <f>SUBTOTAL(9,Z40:Z59)</f>
        <v>33241.499828825443</v>
      </c>
      <c r="AA60" s="1"/>
      <c r="AB60" s="39">
        <f>SUBTOTAL(9,AB40:AB59)</f>
        <v>28710924.545128327</v>
      </c>
      <c r="AC60" s="39">
        <f>SUBTOTAL(9,AC40:AC59)</f>
        <v>18424748.926522434</v>
      </c>
    </row>
    <row r="65" spans="26:26" x14ac:dyDescent="0.25">
      <c r="Z65" s="8"/>
    </row>
  </sheetData>
  <mergeCells count="3">
    <mergeCell ref="S38:Z38"/>
    <mergeCell ref="L38:Q38"/>
    <mergeCell ref="G38:J38"/>
  </mergeCells>
  <hyperlinks>
    <hyperlink ref="C19" r:id="rId1" display="https://railroads.dot.gov/accident-and-incident-reporting/train-accident-reports/train-accidents-type" xr:uid="{FC1F9048-64AF-47BD-902A-48F1965AC737}"/>
    <hyperlink ref="C20" r:id="rId2" display="https://view.officeapps.live.com/op/view.aspx?src=https%3A%2F%2Fwww.bts.gov%2Fsites%2Fbts.dot.gov%2Ffiles%2F2022-10%2Ftable_rail_profile_103122.xlsx&amp;wdOrigin=BROWSELINK" xr:uid="{D7677E37-C9E8-4FA9-B7DB-99CA68FF570C}"/>
    <hyperlink ref="K17" r:id="rId3" display="https://railroads.dot.gov/accident-and-incident-reporting/train-accident-reports/train-accidents-type" xr:uid="{3C296874-5670-4AC7-B554-A819AE284DD5}"/>
    <hyperlink ref="L39" r:id="rId4" display="CO@" xr:uid="{8606845D-2E7A-41E3-89F8-E29F2CEBADA9}"/>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584753C3CA604289FB85408E50D43D" ma:contentTypeVersion="4" ma:contentTypeDescription="Create a new document." ma:contentTypeScope="" ma:versionID="dbc11d7175c23da30eb309eeac413de5">
  <xsd:schema xmlns:xsd="http://www.w3.org/2001/XMLSchema" xmlns:xs="http://www.w3.org/2001/XMLSchema" xmlns:p="http://schemas.microsoft.com/office/2006/metadata/properties" xmlns:ns1="http://schemas.microsoft.com/sharepoint/v3" xmlns:ns2="16f00c2e-ac5c-418b-9f13-a0771dbd417d" xmlns:ns3="787ded0e-1a78-4c7d-a0d8-36c722c284e0" targetNamespace="http://schemas.microsoft.com/office/2006/metadata/properties" ma:root="true" ma:fieldsID="af8f01bd15d0bf3ca6980cca858db723" ns1:_="" ns2:_="" ns3:_="">
    <xsd:import namespace="http://schemas.microsoft.com/sharepoint/v3"/>
    <xsd:import namespace="16f00c2e-ac5c-418b-9f13-a0771dbd417d"/>
    <xsd:import namespace="787ded0e-1a78-4c7d-a0d8-36c722c284e0"/>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3" nillable="true" ma:displayName="Document ID Value" ma:description="The value of the document ID assigned to this item." ma:internalName="_dlc_DocId" ma:readOnly="true">
      <xsd:simpleType>
        <xsd:restriction base="dms:Text"/>
      </xsd:simpleType>
    </xsd:element>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87ded0e-1a78-4c7d-a0d8-36c722c284e0"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ma:readOnly="false">
      <xsd:simpleType>
        <xsd:restriction base="dms:Choice">
          <xsd:enumeration value="Appendices and Supporting Information"/>
          <xsd:enumeration value="Application Information"/>
          <xsd:enumeration value="Business"/>
          <xsd:enumeration value="Crash Data"/>
          <xsd:enumeration value="Letters of Support"/>
          <xsd:enumeration value="NC Government"/>
          <xsd:enumeration value="Operations and Maintenance"/>
          <xsd:enumeration value="Organizations"/>
          <xsd:enumeration value="Technical Studies"/>
          <xsd:enumeration value="White Papers"/>
        </xsd:restriction>
      </xsd:simpleType>
    </xsd:element>
    <xsd:element name="SortOrder" ma:index="10" nillable="true" ma:displayName="SortOrder" ma:decimals="0" ma:internalName="SortOrd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ortOrder xmlns="787ded0e-1a78-4c7d-a0d8-36c722c284e0">9</SortOrder>
    <Category xmlns="787ded0e-1a78-4c7d-a0d8-36c722c284e0">Application Information</Category>
    <URL xmlns="http://schemas.microsoft.com/sharepoint/v3">
      <Url xsi:nil="true"/>
      <Description xsi:nil="true"/>
    </URL>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009BAEAB-D0EF-44CD-9B2A-7D7383312E21}"/>
</file>

<file path=customXml/itemProps2.xml><?xml version="1.0" encoding="utf-8"?>
<ds:datastoreItem xmlns:ds="http://schemas.openxmlformats.org/officeDocument/2006/customXml" ds:itemID="{022D907A-E1BF-4DA1-ACCB-8554FD7B833A}">
  <ds:schemaRefs>
    <ds:schemaRef ds:uri="http://purl.org/dc/terms/"/>
    <ds:schemaRef ds:uri="f4bb6cb4-897e-4f44-8072-9ab36bfed02a"/>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dcmitype/"/>
    <ds:schemaRef ds:uri="http://schemas.microsoft.com/office/infopath/2007/PartnerControls"/>
    <ds:schemaRef ds:uri="c31e0f7f-412b-4376-84c6-e9375e39d4fa"/>
    <ds:schemaRef ds:uri="http://www.w3.org/XML/1998/namespace"/>
  </ds:schemaRefs>
</ds:datastoreItem>
</file>

<file path=customXml/itemProps3.xml><?xml version="1.0" encoding="utf-8"?>
<ds:datastoreItem xmlns:ds="http://schemas.openxmlformats.org/officeDocument/2006/customXml" ds:itemID="{BC27922B-2B73-40A8-AA51-58B33CE8C869}">
  <ds:schemaRefs>
    <ds:schemaRef ds:uri="http://schemas.microsoft.com/sharepoint/v3/contenttype/forms"/>
  </ds:schemaRefs>
</ds:datastoreItem>
</file>

<file path=customXml/itemProps4.xml><?xml version="1.0" encoding="utf-8"?>
<ds:datastoreItem xmlns:ds="http://schemas.openxmlformats.org/officeDocument/2006/customXml" ds:itemID="{FFBD2329-212E-415C-A7F3-A5210BA3CC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Sheet1</vt:lpstr>
      <vt:lpstr>Summary</vt:lpstr>
      <vt:lpstr>Benefits Summary Tab</vt:lpstr>
      <vt:lpstr>Inputs &amp; Parameters</vt:lpstr>
      <vt:lpstr>NPV</vt:lpstr>
      <vt:lpstr>Capital Costs</vt:lpstr>
      <vt:lpstr>Barge - Liquid</vt:lpstr>
      <vt:lpstr>Truck Diversion (No Build)- Dry</vt:lpstr>
      <vt:lpstr>Rail Diversion (No Build) - Dry</vt:lpstr>
      <vt:lpstr>Barge (Build) - Dry</vt:lpstr>
      <vt:lpstr>Barge (Build) - Liquid</vt:lpstr>
      <vt:lpstr>BCA - Liquid</vt:lpstr>
      <vt:lpstr>Team Note (delete when done)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RAISE BCA Calculations</dc:title>
  <dc:subject/>
  <dc:creator>Stephanie Ayers</dc:creator>
  <cp:keywords/>
  <dc:description/>
  <cp:lastModifiedBy>Stephanie Ayers</cp:lastModifiedBy>
  <cp:revision/>
  <dcterms:created xsi:type="dcterms:W3CDTF">2023-10-25T16:10:48Z</dcterms:created>
  <dcterms:modified xsi:type="dcterms:W3CDTF">2024-02-27T21:58:24Z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0x0101005C584753C3CA604289FB85408E50D43D</vt:lpwstr>
  </property>
  <property fmtid="{D5CDD505-2E9C-101B-9397-08002B2CF9AE}" pid="3" name="MediaServiceImageTags">
    <vt:lpwstr/>
  </property>
  <property fmtid="{D5CDD505-2E9C-101B-9397-08002B2CF9AE}" pid="4" name="Order">
    <vt:r8>3100</vt:r8>
  </property>
</Properties>
</file>